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060" tabRatio="658" activeTab="2"/>
  </bookViews>
  <sheets>
    <sheet name="XXX_I" sheetId="1" r:id="rId1"/>
    <sheet name="XXX_II" sheetId="3" r:id="rId2"/>
    <sheet name="XXX_III" sheetId="5" r:id="rId3"/>
    <sheet name="XXX_IV" sheetId="4" r:id="rId4"/>
    <sheet name="XXX_REC" sheetId="2" r:id="rId5"/>
    <sheet name="Pagina_Garda" sheetId="6" r:id="rId6"/>
  </sheets>
  <definedNames>
    <definedName name="_xlnm._FilterDatabase" localSheetId="0" hidden="1">XXX_I!$A$10:$R$32</definedName>
    <definedName name="_xlnm.Print_Area" localSheetId="5">Pagina_Garda!$A$1:$E$35</definedName>
    <definedName name="_xlnm.Print_Area" localSheetId="0">XXX_I!$A$1:$R$52</definedName>
    <definedName name="_xlnm.Print_Area" localSheetId="1">XXX_II!$A$1:$R$52</definedName>
    <definedName name="_xlnm.Print_Area" localSheetId="2">XXX_III!$A$1:$R$51</definedName>
    <definedName name="_xlnm.Print_Area" localSheetId="3">XXX_IV!$A$1:$R$53</definedName>
    <definedName name="_xlnm.Print_Area" localSheetId="4">XXX_REC!$A$1:$H$21</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5" i="4" l="1"/>
  <c r="R35" i="4" l="1"/>
  <c r="R34" i="4"/>
  <c r="R33" i="4"/>
  <c r="R32" i="4"/>
  <c r="R31" i="4"/>
  <c r="R30" i="4"/>
  <c r="R29" i="4"/>
  <c r="R28" i="4"/>
  <c r="R27" i="4"/>
  <c r="R26" i="4"/>
  <c r="R24" i="4"/>
  <c r="R23" i="4"/>
  <c r="R22" i="4"/>
  <c r="R21" i="4"/>
  <c r="R20" i="4"/>
  <c r="R19" i="4"/>
  <c r="R18" i="4"/>
  <c r="R17" i="4"/>
  <c r="R16" i="4"/>
  <c r="R15" i="4"/>
  <c r="R14" i="4"/>
  <c r="R13" i="4"/>
  <c r="R12" i="4"/>
  <c r="R30" i="5"/>
  <c r="R29" i="5"/>
  <c r="R28" i="5"/>
  <c r="R27" i="5"/>
  <c r="R26" i="5"/>
  <c r="R25" i="5"/>
  <c r="R24" i="5"/>
  <c r="R23" i="5"/>
  <c r="R22" i="5"/>
  <c r="R21" i="5"/>
  <c r="R20" i="5"/>
  <c r="R19" i="5"/>
  <c r="R18" i="5"/>
  <c r="R17" i="5"/>
  <c r="R16" i="5"/>
  <c r="R15" i="5"/>
  <c r="R14" i="5"/>
  <c r="R13" i="5"/>
  <c r="R12" i="5"/>
  <c r="R27" i="3"/>
  <c r="R26" i="3"/>
  <c r="R25" i="3"/>
  <c r="R24" i="3"/>
  <c r="R23" i="3"/>
  <c r="R22" i="3"/>
  <c r="R21" i="3"/>
  <c r="R20" i="3"/>
  <c r="R19" i="3"/>
  <c r="R18" i="3"/>
  <c r="R17" i="3"/>
  <c r="R16" i="3"/>
  <c r="R15" i="3"/>
  <c r="R14" i="3"/>
  <c r="R13" i="3"/>
  <c r="R12" i="3"/>
  <c r="R25" i="1"/>
  <c r="R24" i="1"/>
  <c r="R23" i="1"/>
  <c r="R22" i="1"/>
  <c r="R21" i="1"/>
  <c r="R20" i="1"/>
  <c r="R19" i="1"/>
  <c r="R18" i="1"/>
  <c r="R17" i="1"/>
  <c r="R16" i="1"/>
  <c r="R15" i="1"/>
  <c r="R14" i="1"/>
  <c r="R13" i="1"/>
  <c r="R12" i="1"/>
  <c r="H22" i="6" l="1"/>
  <c r="G22" i="6"/>
  <c r="H19" i="6"/>
  <c r="G19" i="6"/>
  <c r="H14" i="6"/>
  <c r="G14" i="6"/>
  <c r="F51" i="5" l="1"/>
  <c r="G51" i="5"/>
  <c r="H51" i="5"/>
  <c r="I51" i="5"/>
  <c r="J51" i="5"/>
  <c r="L51" i="5"/>
  <c r="M51" i="5"/>
  <c r="N51" i="5"/>
  <c r="O51" i="5"/>
  <c r="P51" i="5"/>
  <c r="H20" i="6" l="1"/>
  <c r="G20" i="6"/>
  <c r="G13" i="6"/>
  <c r="H13" i="6" s="1"/>
  <c r="H21" i="6"/>
  <c r="G21" i="6"/>
  <c r="C13" i="6" l="1"/>
  <c r="I21" i="6"/>
  <c r="C21" i="6" s="1"/>
  <c r="I20" i="6"/>
  <c r="C20" i="6" s="1"/>
  <c r="L68" i="4" l="1"/>
  <c r="L69" i="5"/>
  <c r="L67" i="3"/>
  <c r="F68" i="4"/>
  <c r="F69" i="5"/>
  <c r="F67" i="3"/>
  <c r="L67" i="1"/>
  <c r="F67" i="1"/>
  <c r="B2" i="2" l="1"/>
  <c r="C14" i="6" s="1"/>
  <c r="P50" i="4"/>
  <c r="O50" i="4"/>
  <c r="N50" i="4"/>
  <c r="M50" i="4"/>
  <c r="L50" i="4"/>
  <c r="J50" i="4"/>
  <c r="I50" i="4"/>
  <c r="H50" i="4"/>
  <c r="G50" i="4"/>
  <c r="F50" i="4"/>
  <c r="P37" i="4"/>
  <c r="J37" i="4"/>
  <c r="P36" i="5"/>
  <c r="J36" i="5"/>
  <c r="P49" i="3"/>
  <c r="O49" i="3"/>
  <c r="N49" i="3"/>
  <c r="M49" i="3"/>
  <c r="L49" i="3"/>
  <c r="J49" i="3"/>
  <c r="I49" i="3"/>
  <c r="H49" i="3"/>
  <c r="G49" i="3"/>
  <c r="F49" i="3"/>
  <c r="P36" i="3"/>
  <c r="J36" i="3"/>
  <c r="G49" i="1"/>
  <c r="H49" i="1"/>
  <c r="I49" i="1"/>
  <c r="J49" i="1"/>
  <c r="L49" i="1"/>
  <c r="M49" i="1"/>
  <c r="N49" i="1"/>
  <c r="O49" i="1"/>
  <c r="P49" i="1"/>
  <c r="P36" i="1"/>
  <c r="J36" i="1"/>
  <c r="C97" i="2"/>
  <c r="C79" i="2"/>
  <c r="C61" i="2"/>
  <c r="C43" i="2"/>
  <c r="C96" i="2"/>
  <c r="C78" i="2"/>
  <c r="C60" i="2"/>
  <c r="C42" i="2"/>
  <c r="C95" i="2"/>
  <c r="C77" i="2"/>
  <c r="C59" i="2"/>
  <c r="C41" i="2" l="1"/>
  <c r="C94" i="2"/>
  <c r="C76" i="2"/>
  <c r="C58" i="2"/>
  <c r="C40" i="2"/>
  <c r="C104" i="2"/>
  <c r="C86" i="2" l="1"/>
  <c r="C68" i="2"/>
  <c r="F49" i="1"/>
  <c r="C50" i="2"/>
  <c r="B104" i="2"/>
  <c r="B86" i="2"/>
  <c r="B68" i="2"/>
  <c r="B50" i="2"/>
  <c r="C103" i="2"/>
  <c r="C85" i="2"/>
  <c r="C67" i="2"/>
  <c r="C49" i="2"/>
  <c r="B103" i="2"/>
  <c r="B85" i="2"/>
  <c r="B67" i="2"/>
  <c r="B49" i="2"/>
  <c r="C102" i="2"/>
  <c r="C84" i="2"/>
  <c r="C66" i="2"/>
  <c r="C48" i="2"/>
  <c r="B102" i="2"/>
  <c r="B84" i="2"/>
  <c r="B66" i="2"/>
  <c r="B48" i="2"/>
  <c r="B97" i="2"/>
  <c r="B79" i="2"/>
  <c r="B61" i="2"/>
  <c r="B43" i="2"/>
  <c r="B96" i="2"/>
  <c r="B78" i="2"/>
  <c r="B60" i="2"/>
  <c r="B42" i="2"/>
  <c r="B95" i="2"/>
  <c r="B77" i="2"/>
  <c r="B59" i="2"/>
  <c r="B41" i="2"/>
  <c r="B94" i="2"/>
  <c r="B76" i="2"/>
  <c r="B58" i="2"/>
  <c r="B40" i="2"/>
  <c r="R68" i="4" l="1"/>
  <c r="R69" i="5"/>
  <c r="R67" i="3"/>
  <c r="R67" i="1"/>
  <c r="F36" i="5" l="1"/>
  <c r="G36" i="5"/>
  <c r="H36" i="5"/>
  <c r="I36" i="5"/>
  <c r="L36" i="5"/>
  <c r="M36" i="5"/>
  <c r="N36" i="5"/>
  <c r="O36" i="5"/>
  <c r="C81" i="2" l="1"/>
  <c r="C99" i="2"/>
  <c r="C63" i="2"/>
  <c r="C45" i="2"/>
  <c r="O37" i="4" l="1"/>
  <c r="N37" i="4"/>
  <c r="M37" i="4"/>
  <c r="L37" i="4"/>
  <c r="I37" i="4"/>
  <c r="H37" i="4"/>
  <c r="G37" i="4"/>
  <c r="F37" i="4"/>
  <c r="C70" i="2" l="1"/>
  <c r="C88" i="2"/>
  <c r="C106" i="2"/>
  <c r="O36" i="3" l="1"/>
  <c r="N36" i="3"/>
  <c r="M36" i="3"/>
  <c r="L36" i="3"/>
  <c r="I36" i="3"/>
  <c r="H36" i="3"/>
  <c r="G36" i="3"/>
  <c r="F36" i="3"/>
  <c r="C52" i="2" l="1"/>
  <c r="F36" i="1"/>
  <c r="G36" i="1"/>
  <c r="H36" i="1"/>
  <c r="I36" i="1"/>
  <c r="L36" i="1"/>
  <c r="M36" i="1"/>
  <c r="N36" i="1"/>
  <c r="O36" i="1"/>
  <c r="C4" i="2" l="1"/>
  <c r="C9" i="6" s="1"/>
  <c r="C17" i="2"/>
  <c r="B17" i="2"/>
  <c r="C16" i="2"/>
  <c r="B16" i="2"/>
  <c r="C15" i="2"/>
  <c r="B15" i="2"/>
  <c r="C9" i="2"/>
  <c r="B9" i="2"/>
  <c r="C8" i="2"/>
  <c r="B8" i="2"/>
  <c r="C7" i="2"/>
  <c r="B7" i="2"/>
  <c r="C6" i="2"/>
  <c r="B6" i="2"/>
  <c r="C18" i="2" l="1"/>
  <c r="C19" i="2"/>
  <c r="D6" i="2"/>
  <c r="G6" i="2" s="1"/>
  <c r="D7" i="2"/>
  <c r="G7" i="2" s="1"/>
  <c r="D8" i="2"/>
  <c r="G8" i="2" s="1"/>
  <c r="D9" i="2"/>
  <c r="G9" i="2" s="1"/>
  <c r="D17" i="2"/>
  <c r="G17" i="2" s="1"/>
  <c r="D16" i="2"/>
  <c r="G16" i="2" s="1"/>
  <c r="D15" i="2"/>
  <c r="H15" i="2" s="1"/>
  <c r="C10" i="2"/>
  <c r="C10" i="6" s="1"/>
  <c r="H10" i="2" l="1"/>
  <c r="C11" i="2"/>
  <c r="H6" i="2"/>
  <c r="H7" i="2"/>
  <c r="D10" i="2"/>
  <c r="H16" i="2"/>
  <c r="H8" i="2"/>
  <c r="D18" i="2"/>
  <c r="G15" i="2"/>
  <c r="H2" i="2" s="1"/>
  <c r="G10" i="2"/>
  <c r="H9" i="2"/>
  <c r="H17" i="2"/>
  <c r="G2" i="2" l="1"/>
  <c r="D4" i="2" l="1"/>
</calcChain>
</file>

<file path=xl/sharedStrings.xml><?xml version="1.0" encoding="utf-8"?>
<sst xmlns="http://schemas.openxmlformats.org/spreadsheetml/2006/main" count="777" uniqueCount="313">
  <si>
    <t>UNIVERSITATEA DIN CRAIOVA</t>
  </si>
  <si>
    <t>Disciplina</t>
  </si>
  <si>
    <t>Cod</t>
  </si>
  <si>
    <t>C1</t>
  </si>
  <si>
    <t>S1</t>
  </si>
  <si>
    <t>L1</t>
  </si>
  <si>
    <t>P1</t>
  </si>
  <si>
    <t>CT1</t>
  </si>
  <si>
    <t>FV1</t>
  </si>
  <si>
    <t>C2</t>
  </si>
  <si>
    <t>S2</t>
  </si>
  <si>
    <t>L2</t>
  </si>
  <si>
    <t>P2</t>
  </si>
  <si>
    <t>CT2</t>
  </si>
  <si>
    <t>FV2</t>
  </si>
  <si>
    <t>RECAPITULATIV</t>
  </si>
  <si>
    <t>%</t>
  </si>
  <si>
    <t>Lista coduri</t>
  </si>
  <si>
    <t>Discipline</t>
  </si>
  <si>
    <t>Discipline fundamentale, de domeniu, de specialitate si complementare</t>
  </si>
  <si>
    <t>■   obligatorii (OB)</t>
  </si>
  <si>
    <t>■   optionale (OP)</t>
  </si>
  <si>
    <t>■   facultative (F)</t>
  </si>
  <si>
    <t>T O T A L</t>
  </si>
  <si>
    <t>Nr.</t>
  </si>
  <si>
    <t>Se verifica?</t>
  </si>
  <si>
    <t>Standarde ARACIS % minim         maxim</t>
  </si>
  <si>
    <t>VERDICT GENERAL</t>
  </si>
  <si>
    <t>RECAPITULATIV - Anul I</t>
  </si>
  <si>
    <t>RECAPITULATIV - Anul II</t>
  </si>
  <si>
    <t>RECAPITULATIV - Anul III</t>
  </si>
  <si>
    <t>RECAPITULATIV - Anul IV</t>
  </si>
  <si>
    <t>Sem. I</t>
  </si>
  <si>
    <t>Sem. II</t>
  </si>
  <si>
    <t>Nr. sapt./sem. daca ≠ 14</t>
  </si>
  <si>
    <t>TOTAL (fara F)</t>
  </si>
  <si>
    <t>Opt.
0/≥1</t>
  </si>
  <si>
    <t>Nr. ore practica ARACIS</t>
  </si>
  <si>
    <t>Nr. ore practica</t>
  </si>
  <si>
    <t xml:space="preserve">APROBAT începând cu </t>
  </si>
  <si>
    <t>DISCIPLINE FACULTATIVE</t>
  </si>
  <si>
    <t>DISCIPLINE OBLIGATORII SI OPTIONALE</t>
  </si>
  <si>
    <t>TOTAL (cu F)</t>
  </si>
  <si>
    <t>SI</t>
  </si>
  <si>
    <t>■  fundamentale (DF)</t>
  </si>
  <si>
    <t>■  de domeniu (DD)</t>
  </si>
  <si>
    <t>■  de specialitate (DS)</t>
  </si>
  <si>
    <t>■  complementare (DC)</t>
  </si>
  <si>
    <t>■   impuse (DI)</t>
  </si>
  <si>
    <t>■   optionale (DO)</t>
  </si>
  <si>
    <t>■   facultative (DFac)</t>
  </si>
  <si>
    <t xml:space="preserve">DI
DO
DFac   </t>
  </si>
  <si>
    <t>Discipline impuse, optionale si facultative</t>
  </si>
  <si>
    <t>DF
DD
DS
DC</t>
  </si>
  <si>
    <t>Tipuri de discipline:</t>
  </si>
  <si>
    <r>
      <rPr>
        <b/>
        <sz val="11"/>
        <color theme="1"/>
        <rFont val="Calibri"/>
        <family val="2"/>
      </rPr>
      <t xml:space="preserve">1.Tipuri de discipline după categoria formativă:  </t>
    </r>
    <r>
      <rPr>
        <sz val="11"/>
        <color theme="1"/>
        <rFont val="Calibri"/>
        <family val="2"/>
      </rPr>
      <t xml:space="preserve">
DF- discipline fundamentale, 
DD- discipline de domeniu
DS- discipline de specialitate
DC- discipline complementare</t>
    </r>
  </si>
  <si>
    <r>
      <t xml:space="preserve">2.Tipuri de discipline după opționalitate: 
</t>
    </r>
    <r>
      <rPr>
        <sz val="11"/>
        <color theme="1"/>
        <rFont val="Calibri"/>
        <family val="2"/>
      </rPr>
      <t>DI- Discipline obligatorii impuse
DO- Discipline obligatorii opționale
DFac- discipline facultative</t>
    </r>
  </si>
  <si>
    <r>
      <t xml:space="preserve">2.Tipuri de discipline după opționalitate: 
</t>
    </r>
    <r>
      <rPr>
        <sz val="11"/>
        <color theme="1"/>
        <rFont val="Calibri"/>
        <family val="2"/>
      </rPr>
      <t>DI- Discipline obligatorii impuse
DO- Discipline obligatorii opționale
DFac- Discipline facultative</t>
    </r>
  </si>
  <si>
    <t>Centralizator al indicatorilor 
privind organizarea procesului de învățământ la programele de licență</t>
  </si>
  <si>
    <t>Nr.
crt.</t>
  </si>
  <si>
    <t>INDICATOR</t>
  </si>
  <si>
    <t>Valoarea calculată/ de completat</t>
  </si>
  <si>
    <t>Nivel</t>
  </si>
  <si>
    <t>Min.</t>
  </si>
  <si>
    <t>Max.</t>
  </si>
  <si>
    <t>Durata studiilor la formele de învățământ: IF, IFR sau ID</t>
  </si>
  <si>
    <t>Durata unui semestru de activitate didactică</t>
  </si>
  <si>
    <t>14 săptămâni*</t>
  </si>
  <si>
    <t>Numărul de ore de activitate organizată prevăzută în planul de învățământ pentru întregul ciclu al studiilor de licență</t>
  </si>
  <si>
    <t>Numărul de credite obligatorii pe semestru</t>
  </si>
  <si>
    <t>30ECTS</t>
  </si>
  <si>
    <t>10 ECTS</t>
  </si>
  <si>
    <t>3-4 ECTS</t>
  </si>
  <si>
    <t>Raportul dintre numărul orelor de curs și cele aplicative (seminarii, laboratoare, proiecte, stagii de practică etc.)</t>
  </si>
  <si>
    <t>Echivalența în ore a unui credit ECTS</t>
  </si>
  <si>
    <t>25 ore</t>
  </si>
  <si>
    <t>Numărul de săptămâni pentru sesiunile de examene pe semestru</t>
  </si>
  <si>
    <t>Numărul de săptămâni pentru sesiunile de restanțe</t>
  </si>
  <si>
    <t>minim 1 săptămână</t>
  </si>
  <si>
    <t>Numărul maxim de studenți pe grupă IF</t>
  </si>
  <si>
    <t>Numărul maxim de studenți pe grupă IFR</t>
  </si>
  <si>
    <t>Numărul maxim de studenți pe grupă ID</t>
  </si>
  <si>
    <r>
      <rPr>
        <b/>
        <sz val="14"/>
        <rFont val="Arial"/>
        <family val="2"/>
      </rPr>
      <t>Programul de studii de licență</t>
    </r>
    <r>
      <rPr>
        <sz val="14"/>
        <rFont val="Arial"/>
        <family val="2"/>
      </rPr>
      <t xml:space="preserve">: </t>
    </r>
  </si>
  <si>
    <t>Numărul maxim de studenți pe subgrupă pentru activitățile de laborator și/sau proiect</t>
  </si>
  <si>
    <t>Numărul maxim de studenți pe serie de predare curs</t>
  </si>
  <si>
    <t>160****</t>
  </si>
  <si>
    <t>**** - Numărul maxim de studenți dintr-o serie de studii este condiționat suplimentar de baza materială a facultății/universității (capacitatea și dotarea sălilor de predare).</t>
  </si>
  <si>
    <t>min 3 săpt./sesiune</t>
  </si>
  <si>
    <t>4 ani = 8 semestre</t>
  </si>
  <si>
    <t>min. 50%</t>
  </si>
  <si>
    <t>Ponderea examenelor în total evaluări finale</t>
  </si>
  <si>
    <t>Numărul de credite alocat disciplinei Educației fizică și sport</t>
  </si>
  <si>
    <t>Numărul de credite suplimentare care pot fi acordate pentru promovarea examenului de diplomă</t>
  </si>
  <si>
    <t>Numărul de credite alocat pentru disciplina Elaborarea proiectului de diplomă</t>
  </si>
  <si>
    <t>4 ECTS***</t>
  </si>
  <si>
    <t>*** - Elaborarea proiectului de diplomă este cuprinsă în planul de învățământ, în semestrul 8, ca disciplină distinctă.</t>
  </si>
  <si>
    <t>** - Aceste limite sunt stabilite considerându-se volumul minimal de practică de 240 ore.</t>
  </si>
  <si>
    <t>* - Exclusiv sesiunile de examene/restanțe și stagiile de practică, dar inclusiv elaborarea proiectul de diplomă. Activităţile didactice din ultimul semestru pot fi desfăşurate şi într-un alt format decât uniform pe 14 săptămâni, cu asigurarea numărului total de ore didactice pentru întreg ciclul de studii de licenţă şi a numărului de credite pentru fiecare semestru şi pe total ciclu de studii.</t>
  </si>
  <si>
    <t>a. Numărul minim de credite alocat pentru practica de specialitate
b. Numărul minim de credite alocat pentru practica de domeniu
c. Numărul minim de credite alocat practicii pentru elaborarea proiectului de diplomă</t>
  </si>
  <si>
    <t>4 ECTS
4 ECTS
2 ECTS</t>
  </si>
  <si>
    <t>56 ore</t>
  </si>
  <si>
    <t>Volumul de ore prevăzut pentru disciplina Elaborarea proiectului de diplomă</t>
  </si>
  <si>
    <t>Volumul minim al stagiilor de practică din care:
a) Volumul minim al practicii de specialitate
b) Volumul minim al practicii de domeniu
c) Volumul minim al practicii pentru elaborarea proiectului de diplomă</t>
  </si>
  <si>
    <t>Numărul de discipline (impuse +opționale) pe semestru (exclusiv practica, elaborare proiect diplomă)</t>
  </si>
  <si>
    <t>Numărul total de credite pentru disciplinele impuse şi opţionale</t>
  </si>
  <si>
    <t>240 ECTS</t>
  </si>
  <si>
    <t>3376**</t>
  </si>
  <si>
    <t>DF</t>
  </si>
  <si>
    <t>DI</t>
  </si>
  <si>
    <t>E</t>
  </si>
  <si>
    <t>V</t>
  </si>
  <si>
    <t>DD</t>
  </si>
  <si>
    <t>DC</t>
  </si>
  <si>
    <t>A/R</t>
  </si>
  <si>
    <t>DO</t>
  </si>
  <si>
    <t>DS</t>
  </si>
  <si>
    <t>Raportul maxim dintre numărul de studenți și numărul de cadre didactice titularizate în învățământul superior care prestează activități didactice la program</t>
  </si>
  <si>
    <t>15/1</t>
  </si>
  <si>
    <r>
      <rPr>
        <b/>
        <sz val="11"/>
        <color theme="1"/>
        <rFont val="Arial"/>
        <family val="2"/>
      </rPr>
      <t>240 ore</t>
    </r>
    <r>
      <rPr>
        <sz val="11"/>
        <color theme="1"/>
        <rFont val="Arial"/>
        <family val="2"/>
      </rPr>
      <t xml:space="preserve">
90 ore
90 ore
60 ore</t>
    </r>
  </si>
  <si>
    <r>
      <rPr>
        <b/>
        <sz val="11"/>
        <color indexed="8"/>
        <rFont val="Calibri"/>
        <family val="2"/>
      </rPr>
      <t>Durata studiilor</t>
    </r>
    <r>
      <rPr>
        <sz val="11"/>
        <color indexed="8"/>
        <rFont val="Calibri"/>
        <family val="2"/>
      </rPr>
      <t xml:space="preserve"> : 4 ani</t>
    </r>
  </si>
  <si>
    <r>
      <rPr>
        <b/>
        <sz val="11"/>
        <color indexed="8"/>
        <rFont val="Calibri"/>
        <family val="2"/>
      </rPr>
      <t>Forma de învăţământ</t>
    </r>
    <r>
      <rPr>
        <sz val="11"/>
        <color indexed="8"/>
        <rFont val="Calibri"/>
        <family val="2"/>
      </rPr>
      <t> : IF</t>
    </r>
  </si>
  <si>
    <t>1*</t>
  </si>
  <si>
    <t>* Se acorda peste cele 30 credite transferabile ale unui semestru conform Hotararii Consiliului ARACIS din data de 28.06.2012</t>
  </si>
  <si>
    <t>Numărul de ore alocat activităților didactice pe săptămână</t>
  </si>
  <si>
    <t>Facultatea de Automatică, Calculatoare și Electronică</t>
  </si>
  <si>
    <t>Departamentul: Mecatronică și Robotică (D35)</t>
  </si>
  <si>
    <t>Domeniul de ierarhizare: Mecatronică și Robotică</t>
  </si>
  <si>
    <t>Programul de studii: Robotica (ROB)</t>
  </si>
  <si>
    <t xml:space="preserve">Analiză matematică </t>
  </si>
  <si>
    <t>D35ROBL101</t>
  </si>
  <si>
    <t>Algebră liniară, geometrie analitică şi diferenţială</t>
  </si>
  <si>
    <t>D35ROBL102</t>
  </si>
  <si>
    <t>Fizică</t>
  </si>
  <si>
    <t>D35ROBL103</t>
  </si>
  <si>
    <t>Chimie</t>
  </si>
  <si>
    <t>D35ROBL104</t>
  </si>
  <si>
    <t>Programarea calculatoarelor şi limbaje de programare</t>
  </si>
  <si>
    <t>D35ROBL105</t>
  </si>
  <si>
    <t>Informatica aplicata 1</t>
  </si>
  <si>
    <t>D35ROBL106</t>
  </si>
  <si>
    <t>Limba engleză 1</t>
  </si>
  <si>
    <t>D35ROBL107</t>
  </si>
  <si>
    <t>Metode numerice</t>
  </si>
  <si>
    <t>Matematici speciale</t>
  </si>
  <si>
    <t>Electrotehnică</t>
  </si>
  <si>
    <t xml:space="preserve">Sisteme de acţionare </t>
  </si>
  <si>
    <t>Mecanică</t>
  </si>
  <si>
    <t>Grafică asistată de calculator</t>
  </si>
  <si>
    <t>Limba engleză 2</t>
  </si>
  <si>
    <t>D35ROBL201</t>
  </si>
  <si>
    <t>D35ROBL202</t>
  </si>
  <si>
    <t>D35ROBL203</t>
  </si>
  <si>
    <t>D35ROBL204</t>
  </si>
  <si>
    <t>D35ROBL205</t>
  </si>
  <si>
    <t>D35ROBL206</t>
  </si>
  <si>
    <t>D35ROBL207</t>
  </si>
  <si>
    <t>Educaţie fizică și sport 1</t>
  </si>
  <si>
    <t>D35ROBL208</t>
  </si>
  <si>
    <t>Educaţie fizică și sport 2</t>
  </si>
  <si>
    <t>D35ROBL209</t>
  </si>
  <si>
    <t xml:space="preserve">Fundamentele pedagogiei. Teoria şi metodologia currculumului </t>
  </si>
  <si>
    <t>D35MCTL210</t>
  </si>
  <si>
    <t>Dfac</t>
  </si>
  <si>
    <t>Introducere în mecatronică și robotică</t>
  </si>
  <si>
    <t>D35MCTL211</t>
  </si>
  <si>
    <t>Electronică</t>
  </si>
  <si>
    <t>D35ROBL301</t>
  </si>
  <si>
    <t>Analiza şi sinteza dispozitivelor numerice</t>
  </si>
  <si>
    <t>D35ROBL302</t>
  </si>
  <si>
    <t>D35ROBL303</t>
  </si>
  <si>
    <t>Baze de date</t>
  </si>
  <si>
    <t>D35ROBL304</t>
  </si>
  <si>
    <t>Baze de date – proiect</t>
  </si>
  <si>
    <t>D35ROBL305</t>
  </si>
  <si>
    <t>P</t>
  </si>
  <si>
    <t>Informatică aplicată 2</t>
  </si>
  <si>
    <t>D35ROBL306</t>
  </si>
  <si>
    <t xml:space="preserve">Marketing </t>
  </si>
  <si>
    <t>D35ROBL307</t>
  </si>
  <si>
    <t>Limba engleză 3</t>
  </si>
  <si>
    <t>D35ROBL308</t>
  </si>
  <si>
    <t>Electronică digitală</t>
  </si>
  <si>
    <t>D35ROBL401</t>
  </si>
  <si>
    <t>Informatica aplicata 3</t>
  </si>
  <si>
    <t>D35ROBL402</t>
  </si>
  <si>
    <t xml:space="preserve">Bazele sistemelor mecatronice </t>
  </si>
  <si>
    <t>D35ROBL403</t>
  </si>
  <si>
    <t>Bazele roboticii</t>
  </si>
  <si>
    <t>D35ROBL404</t>
  </si>
  <si>
    <t>Arhitectura calculatoarelor numerice</t>
  </si>
  <si>
    <t>D35ROBL405</t>
  </si>
  <si>
    <t>Protecția mediului</t>
  </si>
  <si>
    <t>D35ROBL406</t>
  </si>
  <si>
    <t>Limba engleză 4</t>
  </si>
  <si>
    <t>D35ROBL407</t>
  </si>
  <si>
    <t>D35ROBL408</t>
  </si>
  <si>
    <t>Educaţie fizică 3</t>
  </si>
  <si>
    <t>D35ROBL409</t>
  </si>
  <si>
    <t>Educaţie fizică 4</t>
  </si>
  <si>
    <t>D35ROBL410</t>
  </si>
  <si>
    <t>Programare orientată pe obiecte</t>
  </si>
  <si>
    <t>Proiectarea algoritmilor</t>
  </si>
  <si>
    <t>Comunicații mobile</t>
  </si>
  <si>
    <t>D35ROBL501</t>
  </si>
  <si>
    <t>Automate şi microprogramare</t>
  </si>
  <si>
    <t>D35ROBL502</t>
  </si>
  <si>
    <t>Automate şi microprogramare -proiect</t>
  </si>
  <si>
    <t>D35ROBL503</t>
  </si>
  <si>
    <t>Materiale și structuri inteligente</t>
  </si>
  <si>
    <t>D35ROBL504</t>
  </si>
  <si>
    <t>Sisteme de conducere în robotică</t>
  </si>
  <si>
    <t>D35ROBL505</t>
  </si>
  <si>
    <t>Senzori şi sisteme senzoriale</t>
  </si>
  <si>
    <t>D35ROBL506</t>
  </si>
  <si>
    <t>Microcontrolere, microprocesoare</t>
  </si>
  <si>
    <t>D35ROBL507</t>
  </si>
  <si>
    <t>Microcontrolere, microprocesoare - proiect</t>
  </si>
  <si>
    <t>D35ROBL508</t>
  </si>
  <si>
    <t>Mecanica fluidelor</t>
  </si>
  <si>
    <t>D35ROBL509</t>
  </si>
  <si>
    <t>Sisteme mecatronice</t>
  </si>
  <si>
    <t>D35ROBL601</t>
  </si>
  <si>
    <t>Sisteme mecatronice - proiect</t>
  </si>
  <si>
    <t>D35ROBL602</t>
  </si>
  <si>
    <t>D35ROBL603</t>
  </si>
  <si>
    <t>D35ROBL604</t>
  </si>
  <si>
    <t>Ingineria reglării</t>
  </si>
  <si>
    <t>D35ROBL605</t>
  </si>
  <si>
    <t>Transmisii de date</t>
  </si>
  <si>
    <t>D35ROBL606</t>
  </si>
  <si>
    <t>Proiectare asistată de calculator</t>
  </si>
  <si>
    <t>D35ROBL607</t>
  </si>
  <si>
    <t>Sisteme încorporate (Embedded systems)</t>
  </si>
  <si>
    <t>D35ROBL608</t>
  </si>
  <si>
    <t>Mașini unelte cu comandă numerică</t>
  </si>
  <si>
    <t>D35ROBL609</t>
  </si>
  <si>
    <t>D35ROBL610</t>
  </si>
  <si>
    <t>Sisteme de operare și limbaje în timp real</t>
  </si>
  <si>
    <t>Prelucrarea digitală a semnalelor</t>
  </si>
  <si>
    <t>D35ROBL611</t>
  </si>
  <si>
    <t>Managementul proiectelor</t>
  </si>
  <si>
    <t>D35ROBL612</t>
  </si>
  <si>
    <t>Managementul clasei de elevi</t>
  </si>
  <si>
    <t>D35ROBL613</t>
  </si>
  <si>
    <t>Software industrial</t>
  </si>
  <si>
    <t>D35ROBL701</t>
  </si>
  <si>
    <t>Inteligenţă artificială</t>
  </si>
  <si>
    <t>D35ROBL702</t>
  </si>
  <si>
    <t>Sisteme inteligente om-mașină</t>
  </si>
  <si>
    <t>D35ROBL703</t>
  </si>
  <si>
    <t>Controlere logic programabile si automatizarea fabricatiei</t>
  </si>
  <si>
    <t>D35ROBL704a</t>
  </si>
  <si>
    <t>Controlere logic programabile si automatizarea fabricatiei - proiect</t>
  </si>
  <si>
    <t>D35ROBL705a</t>
  </si>
  <si>
    <t>Vedere artificială</t>
  </si>
  <si>
    <t>D35ROBL706a</t>
  </si>
  <si>
    <t>Tehnologii în protecţia informaţiei</t>
  </si>
  <si>
    <t>D35ROBL707a</t>
  </si>
  <si>
    <t>Sisteme robotizate de fabricație și asamblare</t>
  </si>
  <si>
    <t>D35ROBL708a</t>
  </si>
  <si>
    <t>Analiză cu elemente finită în robotică</t>
  </si>
  <si>
    <t>D35ROBL704b</t>
  </si>
  <si>
    <t>D35ROBL705b</t>
  </si>
  <si>
    <t>Tehnologii de fabricație</t>
  </si>
  <si>
    <t>D35ROBL706b</t>
  </si>
  <si>
    <t>Biomimetica sistemului locomotor</t>
  </si>
  <si>
    <t>D35ROBL707b</t>
  </si>
  <si>
    <t>Controlul produselor prin măsurare asistată</t>
  </si>
  <si>
    <t>D35ROBL708b</t>
  </si>
  <si>
    <t>D35ROBL801</t>
  </si>
  <si>
    <t>Programarea roboților mobili</t>
  </si>
  <si>
    <t>D35ROBL802</t>
  </si>
  <si>
    <t>Elaborare proiect de diplomă</t>
  </si>
  <si>
    <t>D35ROBL803</t>
  </si>
  <si>
    <t>Practică elaborare proiect de diplomă (60 ore)</t>
  </si>
  <si>
    <t>D35ROBL804</t>
  </si>
  <si>
    <t>Roboți pentru servicii</t>
  </si>
  <si>
    <t>D35ROBL805a</t>
  </si>
  <si>
    <t>Robotică medicală</t>
  </si>
  <si>
    <t>D35ROBL806a</t>
  </si>
  <si>
    <t>Limbaje de programare pentru roboţi</t>
  </si>
  <si>
    <t>D35ROBL807a</t>
  </si>
  <si>
    <t>Automate de control și servire</t>
  </si>
  <si>
    <t>D35ROBL805b</t>
  </si>
  <si>
    <t>Fiabilitate și diagnoză</t>
  </si>
  <si>
    <t>D35ROBL806b</t>
  </si>
  <si>
    <t>Managementul inovării</t>
  </si>
  <si>
    <t>D35ROBL807b</t>
  </si>
  <si>
    <t>Sisteme în timp real</t>
  </si>
  <si>
    <t>D35ROBL709</t>
  </si>
  <si>
    <t>D35ROBL808</t>
  </si>
  <si>
    <t>anul universitar 2020-2021</t>
  </si>
  <si>
    <r>
      <t xml:space="preserve">PLAN DE ÎNVĂŢĂMÂNT  – Anul I </t>
    </r>
    <r>
      <rPr>
        <b/>
        <sz val="11"/>
        <rFont val="Calibri"/>
        <family val="2"/>
      </rPr>
      <t>(2020-2021)</t>
    </r>
  </si>
  <si>
    <r>
      <t xml:space="preserve">PLAN DE ÎNVĂŢĂMÂNT  – Anul II </t>
    </r>
    <r>
      <rPr>
        <b/>
        <sz val="11"/>
        <rFont val="Calibri"/>
        <family val="2"/>
      </rPr>
      <t>(2021-2022)</t>
    </r>
  </si>
  <si>
    <r>
      <t xml:space="preserve">PLAN DE ÎNVĂŢĂMÂNT  – Anul III </t>
    </r>
    <r>
      <rPr>
        <b/>
        <sz val="11"/>
        <rFont val="Calibri"/>
        <family val="2"/>
      </rPr>
      <t>(2022-2023)</t>
    </r>
  </si>
  <si>
    <r>
      <t xml:space="preserve">PLAN DE ÎNVĂŢĂMÂNT – Anul IV </t>
    </r>
    <r>
      <rPr>
        <b/>
        <sz val="11"/>
        <rFont val="Calibri"/>
        <family val="2"/>
      </rPr>
      <t>(2023-2024)</t>
    </r>
  </si>
  <si>
    <t>v</t>
  </si>
  <si>
    <t>Cultura si Comunicare</t>
  </si>
  <si>
    <t>D35MCTL212</t>
  </si>
  <si>
    <t>Bazele sistemelor automate</t>
  </si>
  <si>
    <t>Practica de domeniu (3 săpt. = 90 ore)</t>
  </si>
  <si>
    <t>D35ROBL309</t>
  </si>
  <si>
    <t>D35ROBL411</t>
  </si>
  <si>
    <t>Afaceri mic şi mijlocii în domeniul IT</t>
  </si>
  <si>
    <t>D35ROBL412</t>
  </si>
  <si>
    <t>Practica de specialitate (3 săpt. = 90 ore)</t>
  </si>
  <si>
    <t xml:space="preserve">Sisteme de achiziţie, interfeţe şi instrumentaţie virtuală </t>
  </si>
  <si>
    <t>Noţiuni generale de drept</t>
  </si>
  <si>
    <t>D35ROBL614</t>
  </si>
  <si>
    <t>Aplicaţii ale sistemelor robotice</t>
  </si>
  <si>
    <t>Dinamica sistemelor mecatronice</t>
  </si>
  <si>
    <t>Dinamica sistemelor mecatronice - proiect</t>
  </si>
  <si>
    <t>D35ROBL710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</si>
</sst>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1" x14ac:knownFonts="1">
    <font>
      <sz val="11"/>
      <color theme="1"/>
      <name val="Calibri"/>
      <family val="2"/>
      <charset val="238"/>
      <scheme val="minor"/>
    </font>
    <font>
      <sz val="11"/>
      <color theme="1"/>
      <name val="Calibri"/>
      <family val="2"/>
      <scheme val="minor"/>
    </font>
    <font>
      <sz val="8"/>
      <name val="Calibri"/>
      <family val="2"/>
      <charset val="238"/>
    </font>
    <font>
      <b/>
      <sz val="11"/>
      <name val="Calibri"/>
      <family val="2"/>
    </font>
    <font>
      <b/>
      <sz val="11"/>
      <color indexed="8"/>
      <name val="Calibri"/>
      <family val="2"/>
    </font>
    <font>
      <sz val="11"/>
      <color theme="1"/>
      <name val="Calibri"/>
      <family val="2"/>
    </font>
    <font>
      <sz val="11"/>
      <name val="Calibri"/>
      <family val="2"/>
    </font>
    <font>
      <b/>
      <sz val="11"/>
      <color indexed="10"/>
      <name val="Calibri"/>
      <family val="2"/>
    </font>
    <font>
      <sz val="11"/>
      <color indexed="12"/>
      <name val="Calibri"/>
      <family val="2"/>
    </font>
    <font>
      <sz val="11"/>
      <color indexed="17"/>
      <name val="Calibri"/>
      <family val="2"/>
    </font>
    <font>
      <sz val="11"/>
      <color indexed="53"/>
      <name val="Calibri"/>
      <family val="2"/>
    </font>
    <font>
      <sz val="11"/>
      <color indexed="8"/>
      <name val="Calibri"/>
      <family val="2"/>
    </font>
    <font>
      <b/>
      <sz val="11"/>
      <color rgb="FF00B050"/>
      <name val="Calibri"/>
      <family val="2"/>
    </font>
    <font>
      <b/>
      <sz val="11"/>
      <color rgb="FF00B000"/>
      <name val="Calibri"/>
      <family val="2"/>
    </font>
    <font>
      <b/>
      <sz val="11"/>
      <color indexed="12"/>
      <name val="Calibri"/>
      <family val="2"/>
    </font>
    <font>
      <b/>
      <sz val="11"/>
      <color indexed="17"/>
      <name val="Calibri"/>
      <family val="2"/>
    </font>
    <font>
      <b/>
      <sz val="11"/>
      <color indexed="53"/>
      <name val="Calibri"/>
      <family val="2"/>
    </font>
    <font>
      <b/>
      <sz val="11"/>
      <color rgb="FFFF0000"/>
      <name val="Calibri"/>
      <family val="2"/>
    </font>
    <font>
      <b/>
      <sz val="11"/>
      <color rgb="FF0000FF"/>
      <name val="Calibri"/>
      <family val="2"/>
    </font>
    <font>
      <b/>
      <sz val="11"/>
      <color rgb="FF008000"/>
      <name val="Calibri"/>
      <family val="2"/>
    </font>
    <font>
      <b/>
      <sz val="11"/>
      <color rgb="FFFF6600"/>
      <name val="Calibri"/>
      <family val="2"/>
    </font>
    <font>
      <b/>
      <sz val="11"/>
      <color theme="1"/>
      <name val="Calibri"/>
      <family val="2"/>
    </font>
    <font>
      <b/>
      <sz val="11"/>
      <color rgb="FF00B0F0"/>
      <name val="Calibri"/>
      <family val="2"/>
    </font>
    <font>
      <sz val="11"/>
      <color rgb="FF008000"/>
      <name val="Calibri"/>
      <family val="2"/>
    </font>
    <font>
      <sz val="11"/>
      <color rgb="FFFF6600"/>
      <name val="Calibri"/>
      <family val="2"/>
    </font>
    <font>
      <sz val="11"/>
      <color rgb="FF0000FF"/>
      <name val="Calibri"/>
      <family val="2"/>
    </font>
    <font>
      <b/>
      <sz val="11"/>
      <name val="Calibri"/>
      <family val="2"/>
      <charset val="238"/>
      <scheme val="minor"/>
    </font>
    <font>
      <b/>
      <sz val="11"/>
      <color rgb="FF00B050"/>
      <name val="Calibri"/>
      <family val="2"/>
      <charset val="238"/>
      <scheme val="minor"/>
    </font>
    <font>
      <b/>
      <sz val="11"/>
      <color indexed="8"/>
      <name val="Calibri"/>
      <family val="2"/>
      <charset val="238"/>
      <scheme val="minor"/>
    </font>
    <font>
      <b/>
      <sz val="11"/>
      <color rgb="FFFF0000"/>
      <name val="Calibri"/>
      <family val="2"/>
      <charset val="238"/>
      <scheme val="minor"/>
    </font>
    <font>
      <sz val="11"/>
      <color rgb="FFFF0000"/>
      <name val="Calibri"/>
      <family val="2"/>
      <charset val="238"/>
      <scheme val="minor"/>
    </font>
    <font>
      <sz val="11"/>
      <color theme="1"/>
      <name val="Calibri"/>
      <family val="2"/>
      <charset val="238"/>
    </font>
    <font>
      <sz val="11"/>
      <name val="Calibri"/>
      <family val="2"/>
      <charset val="238"/>
      <scheme val="minor"/>
    </font>
    <font>
      <b/>
      <sz val="11"/>
      <color indexed="10"/>
      <name val="Calibri"/>
      <family val="2"/>
      <charset val="238"/>
    </font>
    <font>
      <sz val="11"/>
      <color indexed="12"/>
      <name val="Calibri"/>
      <family val="2"/>
      <charset val="238"/>
    </font>
    <font>
      <sz val="11"/>
      <color indexed="17"/>
      <name val="Calibri"/>
      <family val="2"/>
      <charset val="238"/>
    </font>
    <font>
      <sz val="11"/>
      <color indexed="53"/>
      <name val="Calibri"/>
      <family val="2"/>
      <charset val="238"/>
    </font>
    <font>
      <sz val="11"/>
      <color indexed="8"/>
      <name val="Calibri"/>
      <family val="2"/>
      <charset val="238"/>
    </font>
    <font>
      <b/>
      <sz val="20"/>
      <color rgb="FF00B050"/>
      <name val="Calibri"/>
      <family val="2"/>
      <charset val="238"/>
      <scheme val="minor"/>
    </font>
    <font>
      <b/>
      <sz val="20"/>
      <name val="Calibri"/>
      <family val="2"/>
      <charset val="238"/>
      <scheme val="minor"/>
    </font>
    <font>
      <b/>
      <sz val="20"/>
      <color rgb="FFFF0000"/>
      <name val="Calibri"/>
      <family val="2"/>
      <charset val="238"/>
      <scheme val="minor"/>
    </font>
    <font>
      <b/>
      <sz val="11"/>
      <color rgb="FFFF0000"/>
      <name val="Calibri"/>
      <family val="2"/>
      <charset val="238"/>
    </font>
    <font>
      <sz val="11"/>
      <color rgb="FF0070C0"/>
      <name val="Calibri"/>
      <family val="2"/>
      <charset val="238"/>
    </font>
    <font>
      <sz val="11"/>
      <color rgb="FF92D050"/>
      <name val="Calibri"/>
      <family val="2"/>
      <charset val="238"/>
    </font>
    <font>
      <sz val="11"/>
      <color rgb="FFFFFF00"/>
      <name val="Calibri"/>
      <family val="2"/>
      <charset val="238"/>
    </font>
    <font>
      <b/>
      <sz val="11"/>
      <color rgb="FFFFFF00"/>
      <name val="Calibri"/>
      <family val="2"/>
      <charset val="238"/>
    </font>
    <font>
      <sz val="11"/>
      <color rgb="FFFFFF00"/>
      <name val="Calibri"/>
      <family val="2"/>
      <charset val="238"/>
      <scheme val="minor"/>
    </font>
    <font>
      <sz val="11"/>
      <color rgb="FF00B050"/>
      <name val="Calibri"/>
      <family val="2"/>
      <charset val="238"/>
    </font>
    <font>
      <sz val="11"/>
      <color rgb="FFFF0000"/>
      <name val="Calibri"/>
      <family val="2"/>
      <charset val="238"/>
    </font>
    <font>
      <sz val="11"/>
      <color rgb="FFFF0000"/>
      <name val="Calibri"/>
      <family val="2"/>
    </font>
    <font>
      <sz val="11"/>
      <color theme="3"/>
      <name val="Calibri"/>
      <family val="2"/>
      <charset val="238"/>
      <scheme val="minor"/>
    </font>
    <font>
      <b/>
      <sz val="14"/>
      <color rgb="FFFF0000"/>
      <name val="Calibri"/>
      <family val="2"/>
      <charset val="238"/>
      <scheme val="minor"/>
    </font>
    <font>
      <sz val="14"/>
      <name val="Arial"/>
      <family val="2"/>
    </font>
    <font>
      <b/>
      <sz val="14"/>
      <name val="Arial"/>
      <family val="2"/>
    </font>
    <font>
      <sz val="14"/>
      <color theme="1"/>
      <name val="Arial"/>
      <family val="2"/>
    </font>
    <font>
      <sz val="11"/>
      <color theme="1"/>
      <name val="Arial"/>
      <family val="2"/>
    </font>
    <font>
      <sz val="11"/>
      <name val="Arial"/>
      <family val="2"/>
    </font>
    <font>
      <b/>
      <sz val="12"/>
      <name val="Arial"/>
      <family val="2"/>
    </font>
    <font>
      <b/>
      <sz val="11"/>
      <color theme="1"/>
      <name val="Arial"/>
      <family val="2"/>
    </font>
    <font>
      <b/>
      <sz val="11"/>
      <name val="Arial"/>
      <family val="2"/>
    </font>
    <font>
      <sz val="11"/>
      <color theme="0"/>
      <name val="Arial"/>
      <family val="2"/>
    </font>
    <font>
      <b/>
      <sz val="11"/>
      <color theme="1"/>
      <name val="Calibri"/>
      <family val="2"/>
      <scheme val="minor"/>
    </font>
    <font>
      <b/>
      <sz val="11"/>
      <name val="Calibri"/>
      <family val="2"/>
      <scheme val="minor"/>
    </font>
    <font>
      <b/>
      <sz val="11"/>
      <color rgb="FF00B050"/>
      <name val="Calibri"/>
      <family val="2"/>
      <scheme val="minor"/>
    </font>
    <font>
      <sz val="11"/>
      <color rgb="FFFFC000"/>
      <name val="Calibri"/>
      <family val="2"/>
      <charset val="238"/>
    </font>
    <font>
      <b/>
      <sz val="10.5"/>
      <name val="Calibri"/>
      <family val="2"/>
      <scheme val="minor"/>
    </font>
    <font>
      <sz val="11"/>
      <name val="Calibri"/>
      <family val="2"/>
      <scheme val="minor"/>
    </font>
    <font>
      <sz val="10.5"/>
      <color theme="1"/>
      <name val="Calibri"/>
      <family val="2"/>
      <charset val="238"/>
      <scheme val="minor"/>
    </font>
    <font>
      <sz val="11"/>
      <color rgb="FF92D050"/>
      <name val="Calibri"/>
      <family val="2"/>
    </font>
    <font>
      <b/>
      <sz val="10.5"/>
      <color theme="1"/>
      <name val="Calibri"/>
      <family val="2"/>
      <scheme val="minor"/>
    </font>
    <font>
      <sz val="11"/>
      <name val="Calibri"/>
      <family val="2"/>
      <charset val="23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theme="6" tint="0.39997558519241921"/>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style="medium">
        <color auto="1"/>
      </right>
      <top style="thin">
        <color auto="1"/>
      </top>
      <bottom/>
      <diagonal/>
    </border>
    <border>
      <left style="medium">
        <color indexed="64"/>
      </left>
      <right/>
      <top style="thin">
        <color indexed="64"/>
      </top>
      <bottom/>
      <diagonal/>
    </border>
  </borders>
  <cellStyleXfs count="1">
    <xf numFmtId="0" fontId="0" fillId="0" borderId="0"/>
  </cellStyleXfs>
  <cellXfs count="573">
    <xf numFmtId="0" fontId="0" fillId="0" borderId="0" xfId="0"/>
    <xf numFmtId="0" fontId="0"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5" borderId="10" xfId="0" applyFont="1" applyFill="1" applyBorder="1" applyAlignment="1">
      <alignment vertical="center"/>
    </xf>
    <xf numFmtId="0" fontId="5" fillId="0" borderId="6"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6" xfId="0" applyFont="1" applyBorder="1" applyAlignment="1">
      <alignment horizontal="center" vertical="center"/>
    </xf>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xf>
    <xf numFmtId="0" fontId="11" fillId="0" borderId="16" xfId="0" applyFont="1" applyBorder="1" applyAlignment="1">
      <alignment horizontal="center" vertical="center"/>
    </xf>
    <xf numFmtId="0" fontId="5"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5" fillId="0" borderId="10" xfId="0" applyFont="1" applyBorder="1" applyAlignment="1">
      <alignment vertical="center"/>
    </xf>
    <xf numFmtId="0" fontId="7" fillId="0" borderId="44" xfId="0" applyFont="1" applyFill="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xf numFmtId="0" fontId="7" fillId="5" borderId="8" xfId="0" applyFont="1" applyFill="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12" fillId="5" borderId="8" xfId="0" applyFont="1" applyFill="1" applyBorder="1" applyAlignment="1">
      <alignment horizontal="center" vertical="center"/>
    </xf>
    <xf numFmtId="0" fontId="12" fillId="3"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0" fontId="14" fillId="2" borderId="2" xfId="0" applyFont="1" applyFill="1" applyBorder="1" applyAlignment="1">
      <alignment horizontal="center" vertical="center"/>
    </xf>
    <xf numFmtId="1" fontId="15" fillId="2" borderId="2" xfId="0" applyNumberFormat="1" applyFont="1" applyFill="1" applyBorder="1" applyAlignment="1">
      <alignment horizontal="center" vertical="center"/>
    </xf>
    <xf numFmtId="0" fontId="1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3" fillId="5" borderId="9" xfId="0" applyFont="1" applyFill="1" applyBorder="1" applyAlignment="1">
      <alignment vertical="center" wrapText="1"/>
    </xf>
    <xf numFmtId="0" fontId="6" fillId="5" borderId="10" xfId="0" applyFont="1" applyFill="1" applyBorder="1" applyAlignment="1">
      <alignment horizontal="center" vertical="center"/>
    </xf>
    <xf numFmtId="0" fontId="5" fillId="5" borderId="10" xfId="0" applyFont="1" applyFill="1" applyBorder="1" applyAlignment="1">
      <alignment horizontal="center" vertical="center"/>
    </xf>
    <xf numFmtId="0" fontId="7" fillId="5" borderId="10" xfId="0" applyFont="1" applyFill="1" applyBorder="1" applyAlignment="1">
      <alignment horizontal="center" vertical="center"/>
    </xf>
    <xf numFmtId="0" fontId="8" fillId="5" borderId="10" xfId="0" applyFont="1" applyFill="1" applyBorder="1" applyAlignment="1">
      <alignment horizontal="center" vertical="center"/>
    </xf>
    <xf numFmtId="0" fontId="9" fillId="5" borderId="10" xfId="0" applyFont="1" applyFill="1" applyBorder="1" applyAlignment="1">
      <alignment horizontal="center" vertical="center"/>
    </xf>
    <xf numFmtId="0" fontId="10" fillId="5" borderId="10" xfId="0" applyFont="1" applyFill="1" applyBorder="1" applyAlignment="1">
      <alignment horizontal="center" vertical="center"/>
    </xf>
    <xf numFmtId="0" fontId="11" fillId="5" borderId="10" xfId="0" applyFont="1" applyFill="1" applyBorder="1" applyAlignment="1">
      <alignment horizontal="center" vertical="center"/>
    </xf>
    <xf numFmtId="0" fontId="5" fillId="0" borderId="6" xfId="0" applyFont="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17" fillId="3" borderId="7" xfId="0" applyFont="1" applyFill="1" applyBorder="1" applyAlignment="1">
      <alignment horizontal="center"/>
    </xf>
    <xf numFmtId="0" fontId="18" fillId="3" borderId="7" xfId="0" applyFont="1" applyFill="1" applyBorder="1" applyAlignment="1">
      <alignment horizontal="center"/>
    </xf>
    <xf numFmtId="0" fontId="19" fillId="3" borderId="7" xfId="0" applyFont="1" applyFill="1" applyBorder="1" applyAlignment="1">
      <alignment horizontal="center"/>
    </xf>
    <xf numFmtId="0" fontId="20" fillId="3" borderId="7" xfId="0" applyFont="1" applyFill="1" applyBorder="1" applyAlignment="1">
      <alignment horizontal="center"/>
    </xf>
    <xf numFmtId="0" fontId="4" fillId="3" borderId="8" xfId="0" applyFont="1" applyFill="1" applyBorder="1" applyAlignment="1">
      <alignment horizontal="center"/>
    </xf>
    <xf numFmtId="0" fontId="5" fillId="0" borderId="9" xfId="0" applyFont="1" applyBorder="1" applyAlignment="1">
      <alignment vertical="center" wrapText="1"/>
    </xf>
    <xf numFmtId="0" fontId="5" fillId="4" borderId="10" xfId="0" applyFont="1" applyFill="1" applyBorder="1" applyAlignment="1">
      <alignment horizontal="center" vertical="center"/>
    </xf>
    <xf numFmtId="0" fontId="7" fillId="4" borderId="10" xfId="0" applyFont="1" applyFill="1" applyBorder="1" applyAlignment="1">
      <alignment horizontal="center" vertical="center"/>
    </xf>
    <xf numFmtId="0" fontId="8" fillId="4" borderId="10" xfId="0" applyFont="1" applyFill="1" applyBorder="1" applyAlignment="1">
      <alignment horizontal="center" vertic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11"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0" fontId="5" fillId="0" borderId="43" xfId="0" applyFont="1" applyBorder="1" applyAlignment="1">
      <alignmen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45" xfId="0" applyFont="1" applyBorder="1" applyAlignment="1">
      <alignment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4" fillId="4" borderId="9" xfId="0" applyFont="1" applyFill="1" applyBorder="1" applyAlignment="1">
      <alignment horizontal="center" vertical="center" wrapText="1"/>
    </xf>
    <xf numFmtId="0" fontId="21" fillId="4" borderId="10" xfId="0" applyFont="1" applyFill="1" applyBorder="1" applyAlignment="1">
      <alignment horizontal="center"/>
    </xf>
    <xf numFmtId="0" fontId="21" fillId="4" borderId="11" xfId="0" applyFont="1" applyFill="1" applyBorder="1" applyAlignment="1">
      <alignment horizontal="center"/>
    </xf>
    <xf numFmtId="0" fontId="17" fillId="4" borderId="8" xfId="0" applyFont="1" applyFill="1" applyBorder="1" applyAlignment="1">
      <alignment horizontal="center"/>
    </xf>
    <xf numFmtId="0" fontId="18" fillId="4" borderId="8" xfId="0" applyFont="1" applyFill="1" applyBorder="1" applyAlignment="1">
      <alignment horizontal="center"/>
    </xf>
    <xf numFmtId="0" fontId="19" fillId="4" borderId="8" xfId="0" applyFont="1" applyFill="1" applyBorder="1" applyAlignment="1">
      <alignment horizontal="center"/>
    </xf>
    <xf numFmtId="0" fontId="20" fillId="4" borderId="8" xfId="0" applyFont="1" applyFill="1" applyBorder="1" applyAlignment="1">
      <alignment horizontal="center"/>
    </xf>
    <xf numFmtId="0" fontId="3" fillId="4" borderId="8" xfId="0" applyFont="1" applyFill="1" applyBorder="1" applyAlignment="1">
      <alignment horizontal="center"/>
    </xf>
    <xf numFmtId="0" fontId="22" fillId="4" borderId="10" xfId="0" applyFont="1" applyFill="1" applyBorder="1" applyAlignment="1">
      <alignment horizontal="center"/>
    </xf>
    <xf numFmtId="0" fontId="22" fillId="4" borderId="11" xfId="0" applyFont="1" applyFill="1" applyBorder="1" applyAlignment="1">
      <alignment horizontal="center"/>
    </xf>
    <xf numFmtId="0" fontId="6" fillId="0" borderId="16" xfId="0" applyFont="1" applyBorder="1" applyAlignment="1">
      <alignment horizontal="center" vertical="center"/>
    </xf>
    <xf numFmtId="0" fontId="5" fillId="0" borderId="39" xfId="0" applyFont="1" applyBorder="1" applyAlignment="1">
      <alignment vertical="center" wrapText="1"/>
    </xf>
    <xf numFmtId="0" fontId="5" fillId="0" borderId="41" xfId="0" applyFont="1" applyBorder="1" applyAlignment="1">
      <alignment horizontal="center" vertical="center"/>
    </xf>
    <xf numFmtId="0" fontId="7" fillId="0" borderId="40" xfId="0" applyFont="1" applyBorder="1" applyAlignment="1">
      <alignment horizontal="center" vertical="center"/>
    </xf>
    <xf numFmtId="0" fontId="8" fillId="0" borderId="41" xfId="0" applyFont="1" applyBorder="1" applyAlignment="1">
      <alignment horizontal="center" vertical="center"/>
    </xf>
    <xf numFmtId="0" fontId="9" fillId="0" borderId="41" xfId="0" applyFont="1" applyBorder="1" applyAlignment="1">
      <alignment horizontal="center" vertical="center"/>
    </xf>
    <xf numFmtId="0" fontId="5" fillId="0" borderId="42" xfId="0" applyFont="1" applyBorder="1" applyAlignment="1">
      <alignment horizontal="center" vertical="center"/>
    </xf>
    <xf numFmtId="0" fontId="7" fillId="0" borderId="16" xfId="0" applyFont="1" applyBorder="1" applyAlignment="1">
      <alignment horizontal="center"/>
    </xf>
    <xf numFmtId="0" fontId="8" fillId="0" borderId="17" xfId="0" applyFont="1" applyBorder="1" applyAlignment="1">
      <alignment horizontal="center"/>
    </xf>
    <xf numFmtId="0" fontId="9" fillId="0" borderId="17" xfId="0" applyFont="1" applyBorder="1" applyAlignment="1">
      <alignment horizontal="center"/>
    </xf>
    <xf numFmtId="0" fontId="10" fillId="0" borderId="18"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xf numFmtId="0" fontId="21" fillId="0" borderId="0" xfId="0" applyFont="1" applyAlignment="1">
      <alignment wrapText="1"/>
    </xf>
    <xf numFmtId="0" fontId="5"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xf>
    <xf numFmtId="0" fontId="5" fillId="0" borderId="0" xfId="0" applyFont="1" applyAlignment="1">
      <alignment horizontal="left"/>
    </xf>
    <xf numFmtId="1" fontId="19" fillId="2" borderId="2" xfId="0" applyNumberFormat="1" applyFont="1" applyFill="1" applyBorder="1" applyAlignment="1">
      <alignment horizontal="center" vertical="center"/>
    </xf>
    <xf numFmtId="0" fontId="20" fillId="2" borderId="3" xfId="0" applyFont="1" applyFill="1" applyBorder="1" applyAlignment="1">
      <alignment horizontal="center" vertical="center"/>
    </xf>
    <xf numFmtId="0" fontId="3" fillId="5" borderId="10" xfId="0" applyFont="1" applyFill="1" applyBorder="1" applyAlignment="1">
      <alignment vertical="center"/>
    </xf>
    <xf numFmtId="0" fontId="23"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25" fillId="0" borderId="17" xfId="0" applyFont="1" applyBorder="1" applyAlignment="1">
      <alignment horizontal="center" vertical="center"/>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1" fillId="4" borderId="9" xfId="0" applyFont="1" applyFill="1" applyBorder="1" applyAlignment="1">
      <alignment vertical="center" wrapText="1"/>
    </xf>
    <xf numFmtId="0" fontId="21" fillId="4" borderId="10" xfId="0" applyFont="1" applyFill="1" applyBorder="1" applyAlignment="1">
      <alignment vertical="center" shrinkToFit="1"/>
    </xf>
    <xf numFmtId="0" fontId="25" fillId="4" borderId="10" xfId="0" applyFont="1" applyFill="1" applyBorder="1" applyAlignment="1">
      <alignment horizontal="center" vertical="center"/>
    </xf>
    <xf numFmtId="0" fontId="23" fillId="4" borderId="10" xfId="0" applyFont="1" applyFill="1" applyBorder="1" applyAlignment="1">
      <alignment horizontal="center" vertical="center"/>
    </xf>
    <xf numFmtId="0" fontId="24" fillId="4" borderId="10" xfId="0" applyFont="1" applyFill="1" applyBorder="1" applyAlignment="1">
      <alignment horizontal="center" vertical="center"/>
    </xf>
    <xf numFmtId="0" fontId="7" fillId="0" borderId="19" xfId="0" applyFont="1" applyBorder="1" applyAlignment="1">
      <alignment horizontal="center" vertical="center"/>
    </xf>
    <xf numFmtId="0" fontId="25" fillId="0" borderId="20" xfId="0" applyFont="1" applyBorder="1" applyAlignment="1">
      <alignment horizontal="center" vertical="center"/>
    </xf>
    <xf numFmtId="0" fontId="23" fillId="0" borderId="20" xfId="0" applyFont="1" applyBorder="1" applyAlignment="1">
      <alignment horizontal="center" vertical="center"/>
    </xf>
    <xf numFmtId="0" fontId="24" fillId="0" borderId="21" xfId="0" applyFont="1" applyBorder="1" applyAlignment="1">
      <alignment horizontal="center" vertical="center"/>
    </xf>
    <xf numFmtId="0" fontId="21" fillId="4" borderId="10" xfId="0" applyFont="1" applyFill="1" applyBorder="1" applyAlignment="1">
      <alignment horizontal="center" vertical="center"/>
    </xf>
    <xf numFmtId="0" fontId="17" fillId="4" borderId="8" xfId="0" applyFont="1" applyFill="1" applyBorder="1" applyAlignment="1">
      <alignment horizontal="center" vertical="center"/>
    </xf>
    <xf numFmtId="0" fontId="18" fillId="4" borderId="8"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8" xfId="0" applyFont="1" applyFill="1" applyBorder="1" applyAlignment="1">
      <alignment horizontal="center" vertical="center"/>
    </xf>
    <xf numFmtId="0" fontId="22" fillId="4" borderId="8" xfId="0" applyFont="1" applyFill="1" applyBorder="1" applyAlignment="1">
      <alignment horizontal="center" vertical="center"/>
    </xf>
    <xf numFmtId="0" fontId="5" fillId="0" borderId="46" xfId="0" applyFont="1" applyBorder="1" applyAlignment="1">
      <alignment wrapText="1"/>
    </xf>
    <xf numFmtId="0" fontId="5" fillId="0" borderId="47" xfId="0" applyFont="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5" fillId="0" borderId="0" xfId="0" applyFont="1" applyFill="1" applyBorder="1" applyAlignment="1">
      <alignment horizontal="center"/>
    </xf>
    <xf numFmtId="0" fontId="5" fillId="0" borderId="16" xfId="0" applyFont="1" applyBorder="1" applyAlignment="1">
      <alignment horizontal="center" vertical="top"/>
    </xf>
    <xf numFmtId="0" fontId="5" fillId="0" borderId="10" xfId="0" applyFont="1" applyBorder="1" applyAlignment="1"/>
    <xf numFmtId="0" fontId="5" fillId="0" borderId="33" xfId="0" applyFont="1" applyBorder="1" applyAlignment="1">
      <alignment horizontal="center"/>
    </xf>
    <xf numFmtId="0" fontId="5" fillId="0" borderId="40" xfId="0" applyFont="1" applyBorder="1" applyAlignment="1">
      <alignment horizontal="center" vertical="center"/>
    </xf>
    <xf numFmtId="0" fontId="10" fillId="0" borderId="42" xfId="0" applyFont="1" applyBorder="1" applyAlignment="1">
      <alignment horizontal="center" vertical="center"/>
    </xf>
    <xf numFmtId="0" fontId="11" fillId="0" borderId="40" xfId="0" applyFont="1" applyBorder="1" applyAlignment="1">
      <alignment horizontal="center" vertical="center"/>
    </xf>
    <xf numFmtId="0" fontId="25" fillId="0" borderId="17" xfId="0" applyFont="1" applyFill="1" applyBorder="1" applyAlignment="1">
      <alignment horizontal="center" vertical="center"/>
    </xf>
    <xf numFmtId="0" fontId="23"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5" fillId="0" borderId="23" xfId="0" applyFont="1" applyBorder="1" applyAlignment="1">
      <alignment wrapText="1"/>
    </xf>
    <xf numFmtId="0" fontId="11" fillId="0" borderId="16" xfId="0" applyFont="1" applyBorder="1" applyAlignment="1">
      <alignment horizontal="center"/>
    </xf>
    <xf numFmtId="0" fontId="5" fillId="0" borderId="24" xfId="0" applyFont="1" applyBorder="1" applyAlignment="1">
      <alignment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7" fillId="0" borderId="19" xfId="0" applyFont="1" applyBorder="1" applyAlignment="1">
      <alignment horizontal="center"/>
    </xf>
    <xf numFmtId="0" fontId="8" fillId="0" borderId="20" xfId="0" applyFont="1" applyBorder="1" applyAlignment="1">
      <alignment horizontal="center"/>
    </xf>
    <xf numFmtId="0" fontId="9" fillId="0" borderId="20" xfId="0" applyFont="1" applyBorder="1" applyAlignment="1">
      <alignment horizontal="center"/>
    </xf>
    <xf numFmtId="0" fontId="10" fillId="0" borderId="21" xfId="0" applyFont="1" applyBorder="1" applyAlignment="1">
      <alignment horizontal="center"/>
    </xf>
    <xf numFmtId="0" fontId="11" fillId="0" borderId="19" xfId="0" applyFont="1" applyBorder="1" applyAlignment="1">
      <alignment horizontal="center"/>
    </xf>
    <xf numFmtId="0" fontId="0" fillId="0" borderId="0" xfId="0" applyFont="1"/>
    <xf numFmtId="0" fontId="26" fillId="4" borderId="8" xfId="0" applyFont="1" applyFill="1" applyBorder="1" applyAlignment="1">
      <alignment horizontal="center" vertical="center" wrapText="1" readingOrder="1"/>
    </xf>
    <xf numFmtId="0" fontId="28" fillId="2" borderId="9" xfId="0" applyFont="1" applyFill="1" applyBorder="1" applyAlignment="1">
      <alignment horizontal="center" vertical="center" wrapText="1"/>
    </xf>
    <xf numFmtId="0" fontId="28" fillId="0" borderId="0" xfId="0" applyFont="1"/>
    <xf numFmtId="0" fontId="28" fillId="0" borderId="0" xfId="0" applyFont="1" applyAlignment="1">
      <alignment horizontal="center"/>
    </xf>
    <xf numFmtId="2" fontId="27" fillId="4" borderId="9" xfId="0" applyNumberFormat="1" applyFont="1" applyFill="1" applyBorder="1" applyAlignment="1">
      <alignment horizontal="center" vertical="center" wrapText="1"/>
    </xf>
    <xf numFmtId="2" fontId="27" fillId="4" borderId="11" xfId="0" applyNumberFormat="1" applyFont="1" applyFill="1" applyBorder="1" applyAlignment="1">
      <alignment horizontal="center" vertical="center" wrapText="1"/>
    </xf>
    <xf numFmtId="0" fontId="28" fillId="2" borderId="8"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4" borderId="5" xfId="0" applyFont="1" applyFill="1" applyBorder="1" applyAlignment="1">
      <alignment vertical="center" wrapText="1"/>
    </xf>
    <xf numFmtId="2" fontId="0" fillId="4" borderId="22" xfId="0" applyNumberFormat="1" applyFont="1" applyFill="1" applyBorder="1" applyAlignment="1">
      <alignment horizontal="center" vertical="center" wrapText="1"/>
    </xf>
    <xf numFmtId="2" fontId="27" fillId="4" borderId="22" xfId="0" applyNumberFormat="1" applyFont="1" applyFill="1" applyBorder="1" applyAlignment="1">
      <alignment horizontal="right" vertical="center" wrapText="1"/>
    </xf>
    <xf numFmtId="2" fontId="29" fillId="4" borderId="29" xfId="0" applyNumberFormat="1" applyFont="1" applyFill="1" applyBorder="1" applyAlignment="1">
      <alignment horizontal="left" vertical="center" wrapText="1"/>
    </xf>
    <xf numFmtId="0" fontId="30" fillId="0" borderId="0" xfId="0" applyFont="1" applyBorder="1" applyAlignment="1">
      <alignment horizontal="center" vertical="center" wrapText="1"/>
    </xf>
    <xf numFmtId="0" fontId="0" fillId="4" borderId="6" xfId="0" applyFont="1" applyFill="1" applyBorder="1" applyAlignment="1">
      <alignment vertical="center" wrapText="1"/>
    </xf>
    <xf numFmtId="2" fontId="0" fillId="4" borderId="23" xfId="0" applyNumberFormat="1" applyFont="1" applyFill="1" applyBorder="1" applyAlignment="1">
      <alignment horizontal="center" vertical="center" wrapText="1"/>
    </xf>
    <xf numFmtId="2" fontId="27" fillId="4" borderId="23" xfId="0" applyNumberFormat="1" applyFont="1" applyFill="1" applyBorder="1" applyAlignment="1">
      <alignment horizontal="right" vertical="center" wrapText="1"/>
    </xf>
    <xf numFmtId="2" fontId="29" fillId="4" borderId="30" xfId="0" applyNumberFormat="1" applyFont="1" applyFill="1" applyBorder="1" applyAlignment="1">
      <alignment horizontal="left" vertical="center" wrapText="1"/>
    </xf>
    <xf numFmtId="0" fontId="0" fillId="0" borderId="0" xfId="0" applyFont="1" applyAlignment="1">
      <alignment vertical="center"/>
    </xf>
    <xf numFmtId="0" fontId="30" fillId="0" borderId="0" xfId="0" applyFont="1" applyAlignment="1">
      <alignment wrapText="1"/>
    </xf>
    <xf numFmtId="0" fontId="0" fillId="0" borderId="0" xfId="0" applyFont="1" applyBorder="1" applyAlignment="1">
      <alignment horizontal="center" vertical="center" wrapText="1"/>
    </xf>
    <xf numFmtId="0" fontId="0" fillId="0" borderId="0" xfId="0" applyFont="1" applyBorder="1"/>
    <xf numFmtId="0" fontId="0" fillId="4" borderId="12" xfId="0" applyFont="1" applyFill="1" applyBorder="1" applyAlignment="1">
      <alignment vertical="center" wrapText="1"/>
    </xf>
    <xf numFmtId="2" fontId="0" fillId="4" borderId="24" xfId="0" applyNumberFormat="1" applyFont="1" applyFill="1" applyBorder="1" applyAlignment="1">
      <alignment horizontal="center" vertical="center" wrapText="1"/>
    </xf>
    <xf numFmtId="2" fontId="27" fillId="4" borderId="27" xfId="0" applyNumberFormat="1" applyFont="1" applyFill="1" applyBorder="1" applyAlignment="1">
      <alignment horizontal="right" vertical="center" wrapText="1"/>
    </xf>
    <xf numFmtId="2" fontId="29" fillId="4" borderId="28" xfId="0" applyNumberFormat="1" applyFont="1" applyFill="1" applyBorder="1" applyAlignment="1">
      <alignment horizontal="left" vertical="center" wrapText="1"/>
    </xf>
    <xf numFmtId="0" fontId="0" fillId="4" borderId="9" xfId="0" applyFont="1" applyFill="1" applyBorder="1"/>
    <xf numFmtId="1" fontId="27" fillId="4" borderId="8" xfId="0" applyNumberFormat="1" applyFont="1" applyFill="1" applyBorder="1" applyAlignment="1">
      <alignment horizontal="center" vertical="center"/>
    </xf>
    <xf numFmtId="2" fontId="0" fillId="4" borderId="8" xfId="0" applyNumberFormat="1" applyFont="1" applyFill="1" applyBorder="1" applyAlignment="1">
      <alignment horizontal="center" vertical="center"/>
    </xf>
    <xf numFmtId="2" fontId="27" fillId="4" borderId="9" xfId="0" applyNumberFormat="1" applyFont="1" applyFill="1" applyBorder="1" applyAlignment="1">
      <alignment horizontal="right" vertical="center" wrapText="1"/>
    </xf>
    <xf numFmtId="2" fontId="29" fillId="4" borderId="11" xfId="0" applyNumberFormat="1" applyFont="1" applyFill="1" applyBorder="1" applyAlignment="1">
      <alignment horizontal="left" vertical="center" wrapText="1"/>
    </xf>
    <xf numFmtId="0" fontId="28" fillId="0" borderId="0" xfId="0" applyFont="1" applyBorder="1" applyAlignment="1">
      <alignment horizontal="center"/>
    </xf>
    <xf numFmtId="2" fontId="0" fillId="4" borderId="6" xfId="0" applyNumberFormat="1" applyFont="1" applyFill="1" applyBorder="1" applyAlignment="1">
      <alignment horizontal="center" vertical="center" wrapText="1"/>
    </xf>
    <xf numFmtId="1" fontId="0" fillId="4" borderId="6" xfId="0" applyNumberFormat="1" applyFont="1" applyFill="1" applyBorder="1" applyAlignment="1">
      <alignment horizontal="center" vertical="center"/>
    </xf>
    <xf numFmtId="2" fontId="0" fillId="4" borderId="6" xfId="0" applyNumberFormat="1" applyFont="1" applyFill="1" applyBorder="1" applyAlignment="1">
      <alignment horizontal="center" vertical="center"/>
    </xf>
    <xf numFmtId="0" fontId="0" fillId="4" borderId="34" xfId="0" applyFont="1" applyFill="1" applyBorder="1" applyAlignment="1">
      <alignment vertical="center" wrapText="1"/>
    </xf>
    <xf numFmtId="1" fontId="27" fillId="4" borderId="34" xfId="0" applyNumberFormat="1" applyFont="1" applyFill="1" applyBorder="1" applyAlignment="1">
      <alignment horizontal="center" vertical="center"/>
    </xf>
    <xf numFmtId="2" fontId="0" fillId="4" borderId="34" xfId="0" applyNumberFormat="1" applyFont="1" applyFill="1" applyBorder="1" applyAlignment="1">
      <alignment horizontal="center" vertical="center"/>
    </xf>
    <xf numFmtId="1" fontId="0" fillId="4" borderId="35" xfId="0" applyNumberFormat="1" applyFont="1" applyFill="1" applyBorder="1" applyAlignment="1">
      <alignment horizontal="center" vertical="center" wrapText="1"/>
    </xf>
    <xf numFmtId="1" fontId="0" fillId="4" borderId="36" xfId="0" applyNumberFormat="1" applyFont="1" applyFill="1" applyBorder="1" applyAlignment="1">
      <alignment horizontal="center" vertical="center" wrapText="1"/>
    </xf>
    <xf numFmtId="2" fontId="27" fillId="4" borderId="37" xfId="0" applyNumberFormat="1" applyFont="1" applyFill="1" applyBorder="1" applyAlignment="1">
      <alignment horizontal="right" vertical="center" wrapText="1"/>
    </xf>
    <xf numFmtId="2" fontId="29" fillId="4" borderId="38" xfId="0" applyNumberFormat="1" applyFont="1" applyFill="1" applyBorder="1" applyAlignment="1">
      <alignment horizontal="left" vertical="center" wrapText="1"/>
    </xf>
    <xf numFmtId="0" fontId="28"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1" fontId="0" fillId="4" borderId="22" xfId="0" applyNumberFormat="1" applyFont="1" applyFill="1" applyBorder="1" applyAlignment="1">
      <alignment horizontal="center" vertical="center" wrapText="1"/>
    </xf>
    <xf numFmtId="1" fontId="0" fillId="4" borderId="13" xfId="0" applyNumberFormat="1" applyFont="1" applyFill="1" applyBorder="1" applyAlignment="1">
      <alignment horizontal="center" vertical="center" wrapText="1"/>
    </xf>
    <xf numFmtId="1" fontId="0" fillId="4" borderId="15" xfId="0" applyNumberFormat="1" applyFont="1" applyFill="1" applyBorder="1" applyAlignment="1">
      <alignment horizontal="center" vertical="center" wrapText="1"/>
    </xf>
    <xf numFmtId="0" fontId="0" fillId="0" borderId="0" xfId="0" applyFont="1" applyAlignment="1">
      <alignment horizontal="left"/>
    </xf>
    <xf numFmtId="1" fontId="0" fillId="4" borderId="23" xfId="0" applyNumberFormat="1" applyFont="1" applyFill="1" applyBorder="1" applyAlignment="1">
      <alignment horizontal="center" vertical="center" wrapText="1"/>
    </xf>
    <xf numFmtId="1" fontId="0" fillId="4" borderId="16" xfId="0" applyNumberFormat="1" applyFont="1" applyFill="1" applyBorder="1" applyAlignment="1">
      <alignment horizontal="center" vertical="center" wrapText="1"/>
    </xf>
    <xf numFmtId="1" fontId="0" fillId="4" borderId="18" xfId="0" applyNumberFormat="1" applyFont="1" applyFill="1" applyBorder="1" applyAlignment="1">
      <alignment horizontal="center" vertical="center" wrapText="1"/>
    </xf>
    <xf numFmtId="1" fontId="0" fillId="4" borderId="24" xfId="0" applyNumberFormat="1" applyFont="1" applyFill="1" applyBorder="1" applyAlignment="1">
      <alignment horizontal="center" vertical="center" wrapText="1"/>
    </xf>
    <xf numFmtId="1" fontId="0" fillId="4" borderId="19" xfId="0" applyNumberFormat="1" applyFont="1" applyFill="1" applyBorder="1" applyAlignment="1">
      <alignment horizontal="center" vertical="center" wrapText="1"/>
    </xf>
    <xf numFmtId="1" fontId="0" fillId="4" borderId="21" xfId="0" applyNumberFormat="1" applyFont="1" applyFill="1" applyBorder="1" applyAlignment="1">
      <alignment horizontal="center" vertical="center" wrapText="1"/>
    </xf>
    <xf numFmtId="0" fontId="0" fillId="0" borderId="0" xfId="0" applyFont="1" applyAlignment="1">
      <alignment horizontal="left" vertical="center" wrapText="1"/>
    </xf>
    <xf numFmtId="1" fontId="0" fillId="4" borderId="12" xfId="0" applyNumberFormat="1" applyFont="1" applyFill="1" applyBorder="1" applyAlignment="1">
      <alignment horizontal="center" vertical="center"/>
    </xf>
    <xf numFmtId="2" fontId="27" fillId="4" borderId="24" xfId="0" applyNumberFormat="1" applyFont="1" applyFill="1" applyBorder="1" applyAlignment="1">
      <alignment horizontal="right" vertical="center" wrapText="1"/>
    </xf>
    <xf numFmtId="2" fontId="29" fillId="4" borderId="31" xfId="0" applyNumberFormat="1" applyFont="1" applyFill="1" applyBorder="1" applyAlignment="1">
      <alignment horizontal="left" vertical="center" wrapText="1"/>
    </xf>
    <xf numFmtId="2" fontId="0" fillId="0" borderId="0" xfId="0" applyNumberFormat="1" applyFont="1"/>
    <xf numFmtId="0" fontId="5" fillId="0" borderId="0" xfId="0" applyFont="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0" borderId="0" xfId="0" applyFont="1" applyAlignment="1">
      <alignment wrapText="1"/>
    </xf>
    <xf numFmtId="0" fontId="3" fillId="4" borderId="4" xfId="0" applyFont="1" applyFill="1" applyBorder="1" applyAlignment="1">
      <alignment horizontal="center" vertical="center"/>
    </xf>
    <xf numFmtId="0" fontId="4" fillId="0" borderId="0" xfId="0" applyFont="1" applyBorder="1" applyAlignment="1">
      <alignment horizontal="center"/>
    </xf>
    <xf numFmtId="0" fontId="21" fillId="0" borderId="48" xfId="0" applyFont="1" applyFill="1" applyBorder="1" applyAlignment="1">
      <alignment vertical="center" wrapText="1"/>
    </xf>
    <xf numFmtId="0" fontId="5" fillId="0" borderId="48" xfId="0" applyFont="1" applyBorder="1" applyAlignment="1"/>
    <xf numFmtId="0" fontId="21" fillId="0" borderId="48" xfId="0" applyFont="1" applyBorder="1" applyAlignment="1">
      <alignment horizontal="center"/>
    </xf>
    <xf numFmtId="0" fontId="21" fillId="0" borderId="48" xfId="0" applyFont="1" applyBorder="1" applyAlignment="1">
      <alignment wrapText="1"/>
    </xf>
    <xf numFmtId="0" fontId="5" fillId="0" borderId="48" xfId="0" applyFont="1" applyBorder="1" applyAlignment="1">
      <alignment horizontal="center"/>
    </xf>
    <xf numFmtId="0" fontId="7" fillId="0" borderId="48" xfId="0" applyFont="1" applyBorder="1" applyAlignment="1">
      <alignment horizontal="center"/>
    </xf>
    <xf numFmtId="0" fontId="8" fillId="0" borderId="48" xfId="0" applyFont="1" applyBorder="1" applyAlignment="1">
      <alignment horizontal="center"/>
    </xf>
    <xf numFmtId="0" fontId="9" fillId="0" borderId="48" xfId="0" applyFont="1" applyBorder="1" applyAlignment="1">
      <alignment horizontal="center"/>
    </xf>
    <xf numFmtId="0" fontId="10" fillId="0" borderId="48" xfId="0" applyFont="1" applyBorder="1" applyAlignment="1">
      <alignment horizontal="center"/>
    </xf>
    <xf numFmtId="0" fontId="4" fillId="0" borderId="48" xfId="0" applyFont="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33" fillId="0" borderId="13"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6" fillId="0" borderId="15" xfId="0" applyFont="1" applyBorder="1" applyAlignment="1">
      <alignment horizontal="center" vertical="center"/>
    </xf>
    <xf numFmtId="0" fontId="37" fillId="0" borderId="13"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3" fillId="0" borderId="16" xfId="0" applyFont="1" applyBorder="1" applyAlignment="1">
      <alignment horizontal="center" vertical="center"/>
    </xf>
    <xf numFmtId="0" fontId="34" fillId="0" borderId="17" xfId="0" applyFont="1" applyBorder="1" applyAlignment="1">
      <alignment horizontal="center" vertical="center"/>
    </xf>
    <xf numFmtId="0" fontId="35" fillId="0" borderId="17" xfId="0" applyFont="1" applyBorder="1" applyAlignment="1">
      <alignment horizontal="center" vertical="center"/>
    </xf>
    <xf numFmtId="0" fontId="36" fillId="0" borderId="18" xfId="0" applyFont="1" applyBorder="1" applyAlignment="1">
      <alignment horizontal="center" vertical="center"/>
    </xf>
    <xf numFmtId="0" fontId="37" fillId="0" borderId="16" xfId="0" applyFont="1" applyBorder="1" applyAlignment="1">
      <alignment horizontal="center" vertical="center"/>
    </xf>
    <xf numFmtId="0" fontId="37" fillId="0" borderId="16" xfId="0" quotePrefix="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33"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5"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7" fillId="0" borderId="16" xfId="0" applyFont="1" applyFill="1" applyBorder="1" applyAlignment="1">
      <alignment horizontal="center" vertical="center"/>
    </xf>
    <xf numFmtId="0" fontId="0" fillId="0" borderId="6" xfId="0" applyFill="1" applyBorder="1" applyAlignment="1">
      <alignment vertical="center" wrapText="1"/>
    </xf>
    <xf numFmtId="0" fontId="0" fillId="0" borderId="16" xfId="0" applyFill="1" applyBorder="1" applyAlignment="1">
      <alignment horizontal="center" vertical="center"/>
    </xf>
    <xf numFmtId="0" fontId="37" fillId="0" borderId="16" xfId="0" quotePrefix="1" applyFont="1" applyFill="1" applyBorder="1" applyAlignment="1">
      <alignment horizontal="center" vertical="center"/>
    </xf>
    <xf numFmtId="0" fontId="0" fillId="0" borderId="6" xfId="0" applyBorder="1" applyAlignment="1">
      <alignment vertical="center" wrapText="1"/>
    </xf>
    <xf numFmtId="1" fontId="38" fillId="4" borderId="8" xfId="0" applyNumberFormat="1" applyFont="1" applyFill="1" applyBorder="1" applyAlignment="1">
      <alignment horizontal="center" vertical="center" wrapText="1"/>
    </xf>
    <xf numFmtId="1" fontId="39" fillId="0" borderId="8" xfId="0" applyNumberFormat="1" applyFont="1" applyFill="1" applyBorder="1" applyAlignment="1">
      <alignment horizontal="center" vertical="center" wrapText="1"/>
    </xf>
    <xf numFmtId="0" fontId="38"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2" fontId="38" fillId="4" borderId="22" xfId="0" applyNumberFormat="1" applyFont="1" applyFill="1" applyBorder="1" applyAlignment="1">
      <alignment horizontal="right" vertical="center" wrapText="1"/>
    </xf>
    <xf numFmtId="2" fontId="40" fillId="4" borderId="29" xfId="0" applyNumberFormat="1" applyFont="1" applyFill="1" applyBorder="1" applyAlignment="1">
      <alignment horizontal="left" vertical="center" wrapText="1"/>
    </xf>
    <xf numFmtId="2" fontId="38" fillId="4" borderId="23" xfId="0" applyNumberFormat="1" applyFont="1" applyFill="1" applyBorder="1" applyAlignment="1">
      <alignment horizontal="right" vertical="center" wrapText="1"/>
    </xf>
    <xf numFmtId="2" fontId="40" fillId="4" borderId="30" xfId="0" applyNumberFormat="1" applyFont="1" applyFill="1" applyBorder="1" applyAlignment="1">
      <alignment horizontal="left" vertical="center" wrapText="1"/>
    </xf>
    <xf numFmtId="2" fontId="38" fillId="4" borderId="27" xfId="0" applyNumberFormat="1" applyFont="1" applyFill="1" applyBorder="1" applyAlignment="1">
      <alignment horizontal="right" vertical="center" wrapText="1"/>
    </xf>
    <xf numFmtId="2" fontId="40" fillId="4" borderId="28" xfId="0" applyNumberFormat="1" applyFont="1" applyFill="1" applyBorder="1" applyAlignment="1">
      <alignment horizontal="left"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21" xfId="0" applyNumberFormat="1" applyBorder="1" applyAlignment="1">
      <alignment horizontal="center" vertical="center" wrapText="1"/>
    </xf>
    <xf numFmtId="0" fontId="0" fillId="0" borderId="15" xfId="0" applyFont="1" applyBorder="1" applyAlignment="1">
      <alignment horizontal="center" vertical="center"/>
    </xf>
    <xf numFmtId="0" fontId="41" fillId="0" borderId="13" xfId="0" applyFont="1" applyBorder="1" applyAlignment="1">
      <alignment horizontal="center" vertical="center"/>
    </xf>
    <xf numFmtId="0" fontId="42" fillId="0" borderId="14" xfId="0" applyFont="1" applyBorder="1" applyAlignment="1">
      <alignment horizontal="center" vertical="center"/>
    </xf>
    <xf numFmtId="0" fontId="31" fillId="0" borderId="13" xfId="0" applyFont="1" applyBorder="1" applyAlignment="1">
      <alignment horizontal="center" vertical="center"/>
    </xf>
    <xf numFmtId="0" fontId="0" fillId="0" borderId="6" xfId="0" applyFont="1" applyBorder="1" applyAlignment="1">
      <alignment vertical="center" wrapText="1"/>
    </xf>
    <xf numFmtId="0" fontId="0" fillId="0" borderId="18" xfId="0" applyFont="1" applyBorder="1" applyAlignment="1">
      <alignment horizontal="center" vertical="center"/>
    </xf>
    <xf numFmtId="0" fontId="41" fillId="0" borderId="16" xfId="0" applyFont="1" applyBorder="1" applyAlignment="1">
      <alignment horizontal="center" vertical="center"/>
    </xf>
    <xf numFmtId="0" fontId="42" fillId="0" borderId="17" xfId="0" applyFont="1" applyBorder="1" applyAlignment="1">
      <alignment horizontal="center" vertical="center"/>
    </xf>
    <xf numFmtId="0" fontId="43" fillId="0" borderId="17" xfId="0" applyFont="1" applyBorder="1" applyAlignment="1">
      <alignment horizontal="center" vertical="center"/>
    </xf>
    <xf numFmtId="0" fontId="31" fillId="0" borderId="16" xfId="0" applyFont="1" applyBorder="1" applyAlignment="1">
      <alignment horizontal="center" vertical="center"/>
    </xf>
    <xf numFmtId="0" fontId="33" fillId="0" borderId="16" xfId="0" applyFont="1" applyBorder="1" applyAlignment="1">
      <alignment horizontal="center"/>
    </xf>
    <xf numFmtId="0" fontId="34" fillId="0" borderId="17" xfId="0" applyFont="1" applyBorder="1" applyAlignment="1">
      <alignment horizontal="center"/>
    </xf>
    <xf numFmtId="0" fontId="35" fillId="0" borderId="17" xfId="0" applyFont="1" applyBorder="1" applyAlignment="1">
      <alignment horizontal="center"/>
    </xf>
    <xf numFmtId="0" fontId="36" fillId="0" borderId="18" xfId="0" applyFont="1" applyBorder="1" applyAlignment="1">
      <alignment horizontal="center"/>
    </xf>
    <xf numFmtId="0" fontId="37" fillId="0" borderId="16" xfId="0" applyFont="1" applyBorder="1" applyAlignment="1">
      <alignment horizontal="center"/>
    </xf>
    <xf numFmtId="0" fontId="0" fillId="0" borderId="18" xfId="0" applyBorder="1" applyAlignment="1">
      <alignment horizontal="center"/>
    </xf>
    <xf numFmtId="0" fontId="0" fillId="0" borderId="17" xfId="0" applyFont="1" applyBorder="1" applyAlignment="1">
      <alignment horizontal="center" vertical="center"/>
    </xf>
    <xf numFmtId="0" fontId="44" fillId="0" borderId="18" xfId="0" applyFont="1" applyBorder="1" applyAlignment="1">
      <alignment horizontal="center" vertical="center"/>
    </xf>
    <xf numFmtId="0" fontId="45"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6" fillId="0" borderId="18" xfId="0" applyFont="1" applyBorder="1" applyAlignment="1">
      <alignment horizontal="center" vertical="center"/>
    </xf>
    <xf numFmtId="0" fontId="47" fillId="0" borderId="17" xfId="0" applyFont="1" applyBorder="1" applyAlignment="1">
      <alignment horizontal="center" vertical="center"/>
    </xf>
    <xf numFmtId="0" fontId="0" fillId="0" borderId="18" xfId="0" applyFont="1" applyFill="1" applyBorder="1" applyAlignment="1">
      <alignment horizontal="center" vertical="center"/>
    </xf>
    <xf numFmtId="0" fontId="41"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43" fillId="0" borderId="17" xfId="0" applyFont="1" applyFill="1" applyBorder="1" applyAlignment="1">
      <alignment horizontal="center" vertical="center"/>
    </xf>
    <xf numFmtId="0" fontId="31"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0" fillId="0" borderId="14" xfId="0" applyFont="1" applyBorder="1" applyAlignment="1">
      <alignment horizontal="center" vertical="center"/>
    </xf>
    <xf numFmtId="0" fontId="47" fillId="0" borderId="14" xfId="0" applyFont="1" applyBorder="1" applyAlignment="1">
      <alignment horizontal="center" vertical="center"/>
    </xf>
    <xf numFmtId="0" fontId="44" fillId="0" borderId="15" xfId="0" applyFont="1" applyBorder="1" applyAlignment="1">
      <alignment horizontal="center" vertical="center"/>
    </xf>
    <xf numFmtId="0" fontId="45"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3" xfId="0" applyFont="1" applyBorder="1" applyAlignment="1">
      <alignment horizontal="center" vertical="center"/>
    </xf>
    <xf numFmtId="0" fontId="46" fillId="0" borderId="15" xfId="0" applyFont="1" applyBorder="1" applyAlignment="1">
      <alignment horizontal="center" vertical="center"/>
    </xf>
    <xf numFmtId="0" fontId="0" fillId="0" borderId="17" xfId="0" applyFont="1" applyBorder="1" applyAlignment="1">
      <alignment horizontal="center"/>
    </xf>
    <xf numFmtId="0" fontId="0" fillId="0" borderId="18" xfId="0" applyFont="1" applyBorder="1" applyAlignment="1">
      <alignment horizontal="center"/>
    </xf>
    <xf numFmtId="0" fontId="41" fillId="0" borderId="16" xfId="0" applyFont="1" applyBorder="1" applyAlignment="1">
      <alignment horizontal="center"/>
    </xf>
    <xf numFmtId="0" fontId="42" fillId="0" borderId="17" xfId="0" applyFont="1" applyBorder="1" applyAlignment="1">
      <alignment horizontal="center"/>
    </xf>
    <xf numFmtId="0" fontId="47" fillId="0" borderId="17" xfId="0" applyFont="1" applyBorder="1" applyAlignment="1">
      <alignment horizontal="center"/>
    </xf>
    <xf numFmtId="0" fontId="44" fillId="0" borderId="18" xfId="0" applyFont="1" applyBorder="1" applyAlignment="1">
      <alignment horizontal="center"/>
    </xf>
    <xf numFmtId="0" fontId="31" fillId="0" borderId="44" xfId="0" applyFont="1" applyBorder="1" applyAlignment="1">
      <alignment horizontal="center"/>
    </xf>
    <xf numFmtId="0" fontId="0" fillId="0" borderId="17" xfId="0" applyFont="1" applyFill="1" applyBorder="1" applyAlignment="1">
      <alignment horizontal="center" vertical="center"/>
    </xf>
    <xf numFmtId="1" fontId="0" fillId="0" borderId="0" xfId="0" applyNumberFormat="1" applyFont="1"/>
    <xf numFmtId="1" fontId="29" fillId="4" borderId="8" xfId="0" applyNumberFormat="1" applyFont="1" applyFill="1" applyBorder="1" applyAlignment="1">
      <alignment horizontal="center"/>
    </xf>
    <xf numFmtId="0" fontId="11" fillId="0" borderId="8" xfId="0" applyFont="1" applyBorder="1" applyAlignment="1">
      <alignment horizontal="center"/>
    </xf>
    <xf numFmtId="0" fontId="5" fillId="0" borderId="8" xfId="0" applyFont="1" applyBorder="1" applyAlignment="1">
      <alignment horizontal="center"/>
    </xf>
    <xf numFmtId="2" fontId="5" fillId="0" borderId="6"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wrapText="1"/>
    </xf>
    <xf numFmtId="1" fontId="0" fillId="0" borderId="0" xfId="0" applyNumberFormat="1" applyFont="1" applyBorder="1"/>
    <xf numFmtId="1" fontId="28" fillId="0" borderId="0" xfId="0" applyNumberFormat="1" applyFont="1" applyBorder="1" applyAlignment="1">
      <alignment horizontal="center"/>
    </xf>
    <xf numFmtId="1" fontId="0" fillId="0" borderId="0" xfId="0" applyNumberFormat="1" applyFont="1" applyAlignment="1">
      <alignment horizontal="center" vertical="center"/>
    </xf>
    <xf numFmtId="0" fontId="30" fillId="0" borderId="0" xfId="0" applyFont="1"/>
    <xf numFmtId="0" fontId="39" fillId="0" borderId="0" xfId="0" applyFont="1" applyAlignment="1">
      <alignment wrapText="1"/>
    </xf>
    <xf numFmtId="0" fontId="32" fillId="0" borderId="0" xfId="0" applyFont="1" applyAlignment="1">
      <alignment wrapText="1"/>
    </xf>
    <xf numFmtId="0" fontId="26" fillId="2" borderId="8" xfId="0" applyFont="1" applyFill="1" applyBorder="1" applyAlignment="1">
      <alignment horizontal="center" vertical="center" wrapText="1"/>
    </xf>
    <xf numFmtId="0" fontId="32" fillId="4" borderId="5" xfId="0" applyFont="1" applyFill="1" applyBorder="1" applyAlignment="1">
      <alignment vertical="center" wrapText="1"/>
    </xf>
    <xf numFmtId="0" fontId="32" fillId="4" borderId="6" xfId="0" applyFont="1" applyFill="1" applyBorder="1" applyAlignment="1">
      <alignment vertical="center" wrapText="1"/>
    </xf>
    <xf numFmtId="0" fontId="32" fillId="4" borderId="12" xfId="0" applyFont="1" applyFill="1" applyBorder="1" applyAlignment="1">
      <alignment vertical="center" wrapText="1"/>
    </xf>
    <xf numFmtId="0" fontId="26" fillId="4" borderId="8" xfId="0" applyFont="1" applyFill="1" applyBorder="1" applyAlignment="1">
      <alignment horizontal="center" wrapText="1"/>
    </xf>
    <xf numFmtId="0" fontId="26" fillId="4" borderId="34" xfId="0" applyFont="1" applyFill="1" applyBorder="1" applyAlignment="1">
      <alignment horizontal="center" vertical="center" wrapText="1"/>
    </xf>
    <xf numFmtId="0" fontId="32" fillId="0" borderId="0" xfId="0" applyFont="1" applyBorder="1" applyAlignment="1">
      <alignment wrapText="1"/>
    </xf>
    <xf numFmtId="1" fontId="32" fillId="0" borderId="0" xfId="0" applyNumberFormat="1" applyFont="1" applyAlignment="1">
      <alignment horizontal="center"/>
    </xf>
    <xf numFmtId="1" fontId="26" fillId="4" borderId="8" xfId="0" applyNumberFormat="1" applyFont="1" applyFill="1" applyBorder="1" applyAlignment="1">
      <alignment horizontal="center" vertical="center" wrapText="1" readingOrder="1"/>
    </xf>
    <xf numFmtId="1" fontId="26" fillId="2" borderId="8" xfId="0" applyNumberFormat="1" applyFont="1" applyFill="1" applyBorder="1" applyAlignment="1">
      <alignment horizontal="center" vertical="center" wrapText="1"/>
    </xf>
    <xf numFmtId="1" fontId="32" fillId="4" borderId="5" xfId="0" applyNumberFormat="1" applyFont="1" applyFill="1" applyBorder="1" applyAlignment="1">
      <alignment horizontal="center" vertical="center" wrapText="1"/>
    </xf>
    <xf numFmtId="1" fontId="32" fillId="4" borderId="6" xfId="0" applyNumberFormat="1" applyFont="1" applyFill="1" applyBorder="1" applyAlignment="1">
      <alignment horizontal="center" vertical="center" wrapText="1"/>
    </xf>
    <xf numFmtId="1" fontId="32" fillId="4" borderId="12" xfId="0" applyNumberFormat="1" applyFont="1" applyFill="1" applyBorder="1" applyAlignment="1">
      <alignment horizontal="center" vertical="center" wrapText="1"/>
    </xf>
    <xf numFmtId="1" fontId="32" fillId="4" borderId="6" xfId="0" applyNumberFormat="1" applyFont="1" applyFill="1" applyBorder="1" applyAlignment="1">
      <alignment horizontal="center" vertical="center"/>
    </xf>
    <xf numFmtId="1" fontId="32" fillId="0" borderId="0" xfId="0" applyNumberFormat="1" applyFont="1"/>
    <xf numFmtId="1" fontId="0" fillId="0" borderId="0" xfId="0" applyNumberFormat="1" applyFont="1" applyAlignment="1">
      <alignment horizontal="center" vertical="center" wrapText="1"/>
    </xf>
    <xf numFmtId="1" fontId="32" fillId="4" borderId="5" xfId="0" applyNumberFormat="1" applyFont="1" applyFill="1" applyBorder="1" applyAlignment="1">
      <alignment horizontal="center" vertical="center"/>
    </xf>
    <xf numFmtId="1" fontId="32" fillId="4" borderId="12" xfId="0" applyNumberFormat="1" applyFont="1" applyFill="1" applyBorder="1" applyAlignment="1">
      <alignment horizontal="center" vertical="center"/>
    </xf>
    <xf numFmtId="0" fontId="51" fillId="0" borderId="0" xfId="0" applyFont="1" applyAlignment="1">
      <alignment wrapText="1"/>
    </xf>
    <xf numFmtId="0" fontId="5" fillId="0" borderId="0" xfId="0" applyFont="1" applyAlignment="1">
      <alignment horizontal="center"/>
    </xf>
    <xf numFmtId="0" fontId="55" fillId="0" borderId="0" xfId="0" applyFont="1" applyProtection="1">
      <protection locked="0"/>
    </xf>
    <xf numFmtId="0" fontId="56" fillId="0" borderId="0" xfId="0" applyFont="1" applyAlignment="1" applyProtection="1">
      <alignment vertical="center"/>
    </xf>
    <xf numFmtId="1" fontId="55" fillId="0" borderId="0" xfId="0" applyNumberFormat="1" applyFont="1" applyProtection="1"/>
    <xf numFmtId="0" fontId="55" fillId="0" borderId="0" xfId="0" applyFont="1" applyProtection="1"/>
    <xf numFmtId="0" fontId="55" fillId="0" borderId="0" xfId="0" applyFont="1" applyAlignment="1" applyProtection="1">
      <alignment wrapText="1"/>
      <protection locked="0"/>
    </xf>
    <xf numFmtId="0" fontId="56" fillId="0" borderId="0" xfId="0" applyFont="1" applyAlignment="1" applyProtection="1">
      <alignment vertical="center" wrapText="1"/>
    </xf>
    <xf numFmtId="1" fontId="55" fillId="0" borderId="0" xfId="0" applyNumberFormat="1" applyFont="1" applyAlignment="1" applyProtection="1">
      <alignment wrapText="1"/>
    </xf>
    <xf numFmtId="0" fontId="55" fillId="0" borderId="0" xfId="0" applyFont="1" applyAlignment="1" applyProtection="1">
      <alignment wrapText="1"/>
    </xf>
    <xf numFmtId="0" fontId="58" fillId="0" borderId="4" xfId="0" applyFont="1" applyBorder="1" applyAlignment="1" applyProtection="1">
      <alignment horizontal="center" vertical="center"/>
      <protection locked="0"/>
    </xf>
    <xf numFmtId="0" fontId="58" fillId="0" borderId="22" xfId="0" applyFont="1" applyBorder="1" applyAlignment="1" applyProtection="1">
      <alignment vertical="center"/>
      <protection locked="0"/>
    </xf>
    <xf numFmtId="0" fontId="55" fillId="0" borderId="5" xfId="0" applyFont="1" applyBorder="1" applyAlignment="1" applyProtection="1">
      <alignment vertical="center" wrapText="1"/>
      <protection locked="0"/>
    </xf>
    <xf numFmtId="0" fontId="58" fillId="0" borderId="23" xfId="0" applyFont="1" applyBorder="1" applyAlignment="1" applyProtection="1">
      <alignment vertical="center"/>
      <protection locked="0"/>
    </xf>
    <xf numFmtId="0" fontId="55" fillId="0" borderId="6" xfId="0" applyFont="1" applyBorder="1" applyAlignment="1" applyProtection="1">
      <alignment vertical="center" wrapText="1"/>
      <protection locked="0"/>
    </xf>
    <xf numFmtId="2" fontId="59" fillId="4" borderId="6" xfId="0" applyNumberFormat="1" applyFont="1" applyFill="1" applyBorder="1" applyAlignment="1" applyProtection="1">
      <alignment horizontal="center" vertical="center" wrapText="1"/>
    </xf>
    <xf numFmtId="0" fontId="55" fillId="0" borderId="6" xfId="0" applyFont="1" applyFill="1" applyBorder="1" applyAlignment="1" applyProtection="1">
      <alignment vertical="center"/>
      <protection locked="0"/>
    </xf>
    <xf numFmtId="0" fontId="55" fillId="0" borderId="30" xfId="0" applyFont="1" applyFill="1" applyBorder="1" applyAlignment="1" applyProtection="1">
      <alignment horizontal="right" vertical="center"/>
      <protection locked="0"/>
    </xf>
    <xf numFmtId="1" fontId="59" fillId="4" borderId="6" xfId="0" applyNumberFormat="1" applyFont="1" applyFill="1" applyBorder="1" applyAlignment="1" applyProtection="1">
      <alignment horizontal="center" vertical="center" wrapText="1"/>
    </xf>
    <xf numFmtId="0" fontId="55" fillId="0" borderId="6" xfId="0" applyFont="1" applyFill="1" applyBorder="1" applyAlignment="1" applyProtection="1">
      <alignment horizontal="right" vertical="center"/>
      <protection locked="0"/>
    </xf>
    <xf numFmtId="0" fontId="60" fillId="6" borderId="0" xfId="0" applyFont="1" applyFill="1" applyAlignment="1" applyProtection="1">
      <alignment vertical="center"/>
    </xf>
    <xf numFmtId="0" fontId="60" fillId="0" borderId="0" xfId="0" applyFont="1" applyAlignment="1" applyProtection="1">
      <alignment vertical="center"/>
    </xf>
    <xf numFmtId="1" fontId="60" fillId="0" borderId="0" xfId="0" applyNumberFormat="1" applyFont="1" applyAlignment="1" applyProtection="1">
      <alignment vertical="center"/>
    </xf>
    <xf numFmtId="0" fontId="55" fillId="0" borderId="6" xfId="0" applyFont="1" applyBorder="1" applyAlignment="1" applyProtection="1">
      <alignment horizontal="left" vertical="center" wrapText="1"/>
      <protection locked="0"/>
    </xf>
    <xf numFmtId="0" fontId="60" fillId="0" borderId="0" xfId="0" applyFont="1" applyFill="1" applyAlignment="1" applyProtection="1">
      <alignment vertical="center"/>
    </xf>
    <xf numFmtId="2" fontId="56" fillId="0" borderId="0" xfId="0" applyNumberFormat="1" applyFont="1" applyFill="1" applyAlignment="1" applyProtection="1">
      <alignment vertical="center"/>
    </xf>
    <xf numFmtId="0" fontId="55" fillId="0" borderId="6" xfId="0" applyFont="1" applyFill="1" applyBorder="1" applyAlignment="1" applyProtection="1">
      <alignment horizontal="right" vertical="center" wrapText="1"/>
      <protection locked="0"/>
    </xf>
    <xf numFmtId="0" fontId="55" fillId="0" borderId="39" xfId="0" applyFont="1" applyFill="1" applyBorder="1" applyAlignment="1" applyProtection="1">
      <alignment horizontal="right" vertical="center"/>
      <protection locked="0"/>
    </xf>
    <xf numFmtId="0" fontId="55" fillId="0" borderId="51" xfId="0" applyFont="1" applyFill="1" applyBorder="1" applyAlignment="1" applyProtection="1">
      <alignment horizontal="right" vertical="center"/>
      <protection locked="0"/>
    </xf>
    <xf numFmtId="0" fontId="55" fillId="0" borderId="39" xfId="0" applyFont="1" applyBorder="1" applyAlignment="1" applyProtection="1">
      <alignment horizontal="left" vertical="center" wrapText="1"/>
      <protection locked="0"/>
    </xf>
    <xf numFmtId="0" fontId="55" fillId="0" borderId="12" xfId="0" applyFont="1" applyBorder="1" applyAlignment="1" applyProtection="1">
      <alignment horizontal="left" vertical="center" wrapText="1"/>
      <protection locked="0"/>
    </xf>
    <xf numFmtId="0" fontId="56" fillId="0" borderId="0" xfId="0" applyFont="1" applyAlignment="1" applyProtection="1">
      <alignment horizontal="center" wrapText="1"/>
      <protection locked="0"/>
    </xf>
    <xf numFmtId="0" fontId="55" fillId="0" borderId="0" xfId="0" applyFont="1" applyAlignment="1" applyProtection="1">
      <alignment horizontal="right"/>
      <protection locked="0"/>
    </xf>
    <xf numFmtId="10" fontId="55" fillId="0" borderId="0" xfId="0" applyNumberFormat="1" applyFont="1" applyProtection="1">
      <protection locked="0"/>
    </xf>
    <xf numFmtId="0" fontId="0" fillId="0" borderId="30" xfId="0" applyBorder="1" applyAlignment="1">
      <alignment horizontal="center" vertical="center"/>
    </xf>
    <xf numFmtId="0" fontId="56" fillId="6" borderId="5" xfId="0" applyFont="1" applyFill="1" applyBorder="1" applyAlignment="1" applyProtection="1">
      <alignment horizontal="center" vertical="center" wrapText="1"/>
      <protection locked="0"/>
    </xf>
    <xf numFmtId="0" fontId="56" fillId="6" borderId="6" xfId="0" applyFont="1" applyFill="1" applyBorder="1" applyAlignment="1" applyProtection="1">
      <alignment horizontal="center" vertical="center" wrapText="1"/>
      <protection locked="0"/>
    </xf>
    <xf numFmtId="1" fontId="59" fillId="6" borderId="6" xfId="0" applyNumberFormat="1" applyFont="1" applyFill="1" applyBorder="1" applyAlignment="1" applyProtection="1">
      <alignment horizontal="center" vertical="center" wrapText="1"/>
      <protection locked="0"/>
    </xf>
    <xf numFmtId="0" fontId="56" fillId="6" borderId="39" xfId="0" applyFont="1" applyFill="1" applyBorder="1" applyAlignment="1" applyProtection="1">
      <alignment horizontal="center" vertical="center" wrapText="1"/>
      <protection locked="0"/>
    </xf>
    <xf numFmtId="0" fontId="56" fillId="6" borderId="12" xfId="0" applyFont="1" applyFill="1" applyBorder="1" applyAlignment="1" applyProtection="1">
      <alignment horizontal="center" vertical="center" wrapText="1"/>
      <protection locked="0"/>
    </xf>
    <xf numFmtId="0" fontId="55" fillId="0" borderId="6" xfId="0" applyFont="1" applyFill="1" applyBorder="1" applyAlignment="1" applyProtection="1">
      <alignment horizontal="center" vertical="center" wrapText="1"/>
      <protection locked="0"/>
    </xf>
    <xf numFmtId="0" fontId="58" fillId="0" borderId="23" xfId="0" applyFont="1" applyFill="1" applyBorder="1" applyAlignment="1" applyProtection="1">
      <alignment vertical="center"/>
      <protection locked="0"/>
    </xf>
    <xf numFmtId="0" fontId="58" fillId="0" borderId="52" xfId="0" applyFont="1" applyBorder="1" applyAlignment="1" applyProtection="1">
      <alignment vertical="center"/>
      <protection locked="0"/>
    </xf>
    <xf numFmtId="1" fontId="59" fillId="4" borderId="6" xfId="0" applyNumberFormat="1" applyFont="1" applyFill="1" applyBorder="1" applyAlignment="1" applyProtection="1">
      <alignment horizontal="center" vertical="center" wrapText="1"/>
      <protection locked="0"/>
    </xf>
    <xf numFmtId="0" fontId="11" fillId="0" borderId="0" xfId="0" applyFont="1" applyAlignment="1">
      <alignment wrapText="1"/>
    </xf>
    <xf numFmtId="2" fontId="5" fillId="0" borderId="0" xfId="0" applyNumberFormat="1" applyFont="1" applyAlignment="1">
      <alignment horizontal="center"/>
    </xf>
    <xf numFmtId="2" fontId="4" fillId="2" borderId="4" xfId="0" applyNumberFormat="1" applyFont="1" applyFill="1" applyBorder="1" applyAlignment="1">
      <alignment horizontal="center" vertical="center" wrapText="1"/>
    </xf>
    <xf numFmtId="2" fontId="5" fillId="5" borderId="11"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4" fillId="3" borderId="11" xfId="0" applyNumberFormat="1" applyFont="1" applyFill="1" applyBorder="1" applyAlignment="1">
      <alignment horizontal="center"/>
    </xf>
    <xf numFmtId="2" fontId="5" fillId="0" borderId="11" xfId="0" applyNumberFormat="1" applyFont="1" applyBorder="1" applyAlignment="1">
      <alignment horizontal="center" vertical="center"/>
    </xf>
    <xf numFmtId="2" fontId="5" fillId="4" borderId="11" xfId="0" applyNumberFormat="1" applyFont="1" applyFill="1" applyBorder="1" applyAlignment="1">
      <alignment horizontal="center" vertical="center"/>
    </xf>
    <xf numFmtId="2" fontId="22" fillId="4" borderId="8" xfId="0" applyNumberFormat="1" applyFont="1" applyFill="1" applyBorder="1" applyAlignment="1">
      <alignment horizontal="center" vertical="center"/>
    </xf>
    <xf numFmtId="2" fontId="4" fillId="3" borderId="0" xfId="0" applyNumberFormat="1" applyFont="1" applyFill="1" applyBorder="1" applyAlignment="1">
      <alignment horizontal="center"/>
    </xf>
    <xf numFmtId="2" fontId="17" fillId="3" borderId="11" xfId="0" applyNumberFormat="1" applyFont="1" applyFill="1" applyBorder="1" applyAlignment="1">
      <alignment horizontal="center"/>
    </xf>
    <xf numFmtId="2" fontId="4" fillId="2" borderId="26" xfId="0" applyNumberFormat="1" applyFont="1" applyFill="1" applyBorder="1" applyAlignment="1">
      <alignment horizontal="center" vertical="center" wrapText="1"/>
    </xf>
    <xf numFmtId="2" fontId="5" fillId="0" borderId="30" xfId="0" applyNumberFormat="1" applyFont="1" applyBorder="1" applyAlignment="1">
      <alignment horizontal="center" vertical="center"/>
    </xf>
    <xf numFmtId="2" fontId="5" fillId="0" borderId="11" xfId="0" applyNumberFormat="1" applyFont="1" applyBorder="1" applyAlignment="1"/>
    <xf numFmtId="2" fontId="22" fillId="4" borderId="11" xfId="0" applyNumberFormat="1" applyFont="1" applyFill="1" applyBorder="1" applyAlignment="1">
      <alignment horizontal="center"/>
    </xf>
    <xf numFmtId="2" fontId="17" fillId="3" borderId="8" xfId="0" applyNumberFormat="1" applyFont="1" applyFill="1" applyBorder="1" applyAlignment="1">
      <alignment horizontal="center"/>
    </xf>
    <xf numFmtId="2" fontId="5" fillId="0" borderId="18" xfId="0" applyNumberFormat="1" applyFont="1" applyBorder="1" applyAlignment="1">
      <alignment horizontal="center" vertical="center"/>
    </xf>
    <xf numFmtId="2" fontId="49" fillId="0" borderId="8" xfId="0" applyNumberFormat="1" applyFont="1" applyBorder="1" applyAlignment="1">
      <alignment horizontal="center"/>
    </xf>
    <xf numFmtId="2" fontId="5" fillId="0" borderId="31" xfId="0" applyNumberFormat="1" applyFont="1" applyBorder="1" applyAlignment="1">
      <alignment horizontal="center" vertical="center"/>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0" fontId="11" fillId="0" borderId="6" xfId="0" applyFont="1" applyFill="1" applyBorder="1" applyAlignment="1">
      <alignment vertical="center" wrapText="1"/>
    </xf>
    <xf numFmtId="2" fontId="11" fillId="0" borderId="6" xfId="0" applyNumberFormat="1" applyFont="1" applyBorder="1" applyAlignment="1">
      <alignment horizontal="center" vertical="center"/>
    </xf>
    <xf numFmtId="0" fontId="11" fillId="0" borderId="0" xfId="0" applyFont="1" applyAlignment="1">
      <alignment wrapText="1"/>
    </xf>
    <xf numFmtId="0" fontId="62" fillId="7" borderId="6" xfId="0" applyFont="1" applyFill="1" applyBorder="1" applyAlignment="1">
      <alignment vertical="center" wrapText="1"/>
    </xf>
    <xf numFmtId="0" fontId="62" fillId="0" borderId="6" xfId="0" applyFont="1" applyBorder="1" applyAlignment="1">
      <alignment vertical="center" wrapText="1"/>
    </xf>
    <xf numFmtId="0" fontId="63" fillId="0" borderId="17" xfId="0" applyFont="1" applyBorder="1" applyAlignment="1">
      <alignment horizontal="center" vertical="center"/>
    </xf>
    <xf numFmtId="0" fontId="63"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ont="1" applyFill="1" applyBorder="1" applyAlignment="1">
      <alignment horizontal="center" vertical="center"/>
    </xf>
    <xf numFmtId="0" fontId="41"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3" fillId="0" borderId="14" xfId="0" applyFont="1" applyFill="1" applyBorder="1" applyAlignment="1">
      <alignment horizontal="center" vertical="center"/>
    </xf>
    <xf numFmtId="0" fontId="36"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50" fillId="0" borderId="18" xfId="0" applyFont="1" applyFill="1" applyBorder="1" applyAlignment="1">
      <alignment horizontal="center" vertical="center"/>
    </xf>
    <xf numFmtId="0" fontId="44" fillId="0" borderId="18"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xf numFmtId="0" fontId="62" fillId="0" borderId="4" xfId="0" applyFont="1" applyFill="1" applyBorder="1" applyAlignment="1">
      <alignment vertical="center" wrapText="1"/>
    </xf>
    <xf numFmtId="0" fontId="62" fillId="0" borderId="6" xfId="0" applyFont="1" applyFill="1" applyBorder="1" applyAlignment="1">
      <alignment vertical="center" wrapText="1"/>
    </xf>
    <xf numFmtId="0" fontId="61" fillId="0" borderId="6" xfId="0" applyFont="1" applyFill="1" applyBorder="1" applyAlignment="1">
      <alignment vertical="center" wrapText="1"/>
    </xf>
    <xf numFmtId="0" fontId="63" fillId="0" borderId="6" xfId="0" applyFont="1" applyBorder="1" applyAlignment="1">
      <alignment vertical="center" wrapText="1"/>
    </xf>
    <xf numFmtId="0" fontId="63" fillId="0" borderId="4" xfId="0" applyFont="1" applyBorder="1" applyAlignment="1">
      <alignment vertical="center" wrapText="1"/>
    </xf>
    <xf numFmtId="0" fontId="0" fillId="0" borderId="13" xfId="0" applyBorder="1" applyAlignment="1">
      <alignment horizontal="center" vertical="center"/>
    </xf>
    <xf numFmtId="0" fontId="63" fillId="7" borderId="14" xfId="0" applyFont="1" applyFill="1" applyBorder="1" applyAlignment="1">
      <alignment horizontal="center" vertical="center"/>
    </xf>
    <xf numFmtId="0" fontId="63" fillId="7" borderId="17" xfId="0" applyFont="1" applyFill="1" applyBorder="1" applyAlignment="1">
      <alignment horizontal="center" vertical="center"/>
    </xf>
    <xf numFmtId="0" fontId="63" fillId="7" borderId="6" xfId="0" applyFont="1" applyFill="1" applyBorder="1" applyAlignment="1">
      <alignment horizontal="center" vertical="center" wrapText="1"/>
    </xf>
    <xf numFmtId="0" fontId="64" fillId="0" borderId="18" xfId="0" applyFont="1" applyBorder="1" applyAlignment="1">
      <alignment horizontal="center" vertical="center"/>
    </xf>
    <xf numFmtId="0" fontId="62" fillId="0" borderId="49" xfId="0" applyFont="1" applyFill="1" applyBorder="1" applyAlignment="1">
      <alignment vertical="center" wrapText="1"/>
    </xf>
    <xf numFmtId="0" fontId="63" fillId="0" borderId="17" xfId="0" applyFont="1" applyBorder="1" applyAlignment="1">
      <alignment horizontal="center"/>
    </xf>
    <xf numFmtId="0" fontId="63" fillId="0" borderId="6" xfId="0" applyFont="1" applyBorder="1" applyAlignment="1">
      <alignment horizontal="center" vertical="center" wrapText="1"/>
    </xf>
    <xf numFmtId="0" fontId="63" fillId="0" borderId="14" xfId="0" applyFont="1" applyBorder="1" applyAlignment="1">
      <alignment horizontal="center" vertical="center"/>
    </xf>
    <xf numFmtId="0" fontId="0" fillId="0" borderId="15" xfId="0" applyFill="1" applyBorder="1" applyAlignment="1">
      <alignment horizontal="center" vertical="center"/>
    </xf>
    <xf numFmtId="0" fontId="34" fillId="7" borderId="17" xfId="0" applyFont="1" applyFill="1" applyBorder="1" applyAlignment="1">
      <alignment horizontal="center" vertical="center"/>
    </xf>
    <xf numFmtId="0" fontId="35" fillId="7" borderId="17" xfId="0" applyFont="1" applyFill="1" applyBorder="1" applyAlignment="1">
      <alignment horizontal="center" vertical="center"/>
    </xf>
    <xf numFmtId="0" fontId="65" fillId="0" borderId="6" xfId="0" applyFont="1" applyFill="1" applyBorder="1" applyAlignment="1">
      <alignment vertical="center" wrapText="1"/>
    </xf>
    <xf numFmtId="0" fontId="66"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33"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5"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66" fillId="7" borderId="16" xfId="0" applyFont="1"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33" fillId="7" borderId="16" xfId="0" applyFont="1" applyFill="1" applyBorder="1" applyAlignment="1">
      <alignment horizontal="center" vertical="center"/>
    </xf>
    <xf numFmtId="0" fontId="36" fillId="7" borderId="18" xfId="0" applyFont="1" applyFill="1" applyBorder="1" applyAlignment="1">
      <alignment horizontal="center" vertical="center"/>
    </xf>
    <xf numFmtId="0" fontId="37" fillId="7" borderId="16" xfId="0" applyFont="1" applyFill="1" applyBorder="1" applyAlignment="1">
      <alignment horizontal="center" vertical="center"/>
    </xf>
    <xf numFmtId="0" fontId="66" fillId="0" borderId="16" xfId="0" applyFont="1" applyFill="1" applyBorder="1" applyAlignment="1">
      <alignment horizontal="center" vertical="center"/>
    </xf>
    <xf numFmtId="0" fontId="0" fillId="7" borderId="18" xfId="0" applyFill="1" applyBorder="1" applyAlignment="1">
      <alignment horizontal="center" vertical="center" wrapText="1"/>
    </xf>
    <xf numFmtId="0" fontId="67" fillId="0" borderId="6" xfId="0" applyFont="1" applyFill="1" applyBorder="1" applyAlignment="1">
      <alignment vertical="center" wrapText="1"/>
    </xf>
    <xf numFmtId="0" fontId="41" fillId="7" borderId="16" xfId="0" applyFont="1" applyFill="1" applyBorder="1" applyAlignment="1">
      <alignment horizontal="center" vertical="center"/>
    </xf>
    <xf numFmtId="1" fontId="5" fillId="0" borderId="6" xfId="0" applyNumberFormat="1" applyFont="1" applyBorder="1" applyAlignment="1">
      <alignment horizontal="center" vertical="center"/>
    </xf>
    <xf numFmtId="1" fontId="5" fillId="0" borderId="5"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61" fillId="7" borderId="6" xfId="0" applyFont="1" applyFill="1" applyBorder="1" applyAlignment="1">
      <alignment vertical="center" wrapText="1"/>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8" xfId="0" applyFont="1" applyFill="1" applyBorder="1" applyAlignment="1">
      <alignment horizontal="center" vertical="center"/>
    </xf>
    <xf numFmtId="0" fontId="21" fillId="7" borderId="16"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6" xfId="0" applyFont="1" applyFill="1" applyBorder="1" applyAlignment="1">
      <alignment horizontal="center" vertical="center"/>
    </xf>
    <xf numFmtId="0" fontId="17" fillId="7" borderId="16" xfId="0" applyFont="1" applyFill="1" applyBorder="1" applyAlignment="1">
      <alignment horizontal="center" vertical="center"/>
    </xf>
    <xf numFmtId="0" fontId="68" fillId="7" borderId="17" xfId="0" applyFont="1" applyFill="1" applyBorder="1" applyAlignment="1">
      <alignment horizontal="center" vertical="center"/>
    </xf>
    <xf numFmtId="0" fontId="0" fillId="7" borderId="16" xfId="0" applyFill="1" applyBorder="1" applyAlignment="1">
      <alignment horizontal="center" vertical="center"/>
    </xf>
    <xf numFmtId="0" fontId="0" fillId="7" borderId="17" xfId="0" applyFont="1" applyFill="1" applyBorder="1" applyAlignment="1">
      <alignment horizontal="center" vertical="center"/>
    </xf>
    <xf numFmtId="0" fontId="0" fillId="7" borderId="18" xfId="0" applyFont="1" applyFill="1" applyBorder="1" applyAlignment="1">
      <alignment horizontal="center" vertical="center"/>
    </xf>
    <xf numFmtId="0" fontId="42" fillId="7" borderId="17" xfId="0" applyFont="1" applyFill="1" applyBorder="1" applyAlignment="1">
      <alignment horizontal="center" vertical="center"/>
    </xf>
    <xf numFmtId="0" fontId="47" fillId="7" borderId="17" xfId="0" applyFont="1" applyFill="1" applyBorder="1" applyAlignment="1">
      <alignment horizontal="center" vertical="center"/>
    </xf>
    <xf numFmtId="0" fontId="31" fillId="7" borderId="16" xfId="0" applyFont="1" applyFill="1" applyBorder="1" applyAlignment="1">
      <alignment horizontal="center" vertical="center"/>
    </xf>
    <xf numFmtId="1" fontId="5" fillId="7" borderId="5" xfId="0" applyNumberFormat="1" applyFont="1" applyFill="1" applyBorder="1" applyAlignment="1">
      <alignment horizontal="center" vertical="center"/>
    </xf>
    <xf numFmtId="0" fontId="66" fillId="7" borderId="17" xfId="0" applyFont="1" applyFill="1" applyBorder="1" applyAlignment="1">
      <alignment horizontal="center" vertical="center"/>
    </xf>
    <xf numFmtId="0" fontId="66"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62" fillId="7" borderId="18" xfId="0" applyFont="1" applyFill="1" applyBorder="1" applyAlignment="1">
      <alignment horizontal="center" vertical="center"/>
    </xf>
    <xf numFmtId="0" fontId="12" fillId="7" borderId="17" xfId="0" applyFont="1" applyFill="1" applyBorder="1" applyAlignment="1">
      <alignment horizontal="center" vertical="center"/>
    </xf>
    <xf numFmtId="0" fontId="6" fillId="7" borderId="16" xfId="0" applyFont="1" applyFill="1" applyBorder="1" applyAlignment="1">
      <alignment horizontal="center" vertical="center"/>
    </xf>
    <xf numFmtId="2" fontId="36" fillId="7" borderId="18" xfId="0" applyNumberFormat="1" applyFont="1" applyFill="1" applyBorder="1" applyAlignment="1">
      <alignment horizontal="center" vertical="center"/>
    </xf>
    <xf numFmtId="1" fontId="5" fillId="7" borderId="6" xfId="0" applyNumberFormat="1" applyFont="1" applyFill="1" applyBorder="1" applyAlignment="1">
      <alignment horizontal="center" vertical="center"/>
    </xf>
    <xf numFmtId="0" fontId="65" fillId="7" borderId="6" xfId="0" applyFont="1" applyFill="1" applyBorder="1" applyAlignment="1">
      <alignment vertical="center" wrapText="1"/>
    </xf>
    <xf numFmtId="0" fontId="69" fillId="7" borderId="6" xfId="0" applyFont="1" applyFill="1" applyBorder="1" applyAlignment="1">
      <alignment vertical="center" wrapText="1"/>
    </xf>
    <xf numFmtId="0" fontId="21" fillId="7" borderId="6" xfId="0" applyFont="1" applyFill="1" applyBorder="1" applyAlignment="1">
      <alignment vertical="center" wrapText="1"/>
    </xf>
    <xf numFmtId="0" fontId="7"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9" fillId="7" borderId="17" xfId="0" applyFont="1" applyFill="1" applyBorder="1" applyAlignment="1">
      <alignment horizontal="center" vertical="center"/>
    </xf>
    <xf numFmtId="0" fontId="10" fillId="7" borderId="18" xfId="0" applyFont="1" applyFill="1" applyBorder="1" applyAlignment="1">
      <alignment horizontal="center" vertical="center"/>
    </xf>
    <xf numFmtId="0" fontId="11" fillId="7" borderId="16" xfId="0" applyFont="1" applyFill="1" applyBorder="1" applyAlignment="1">
      <alignment horizontal="center" vertical="center"/>
    </xf>
    <xf numFmtId="0" fontId="32" fillId="7" borderId="6" xfId="0" applyFont="1" applyFill="1" applyBorder="1" applyAlignment="1">
      <alignment vertical="center" wrapText="1"/>
    </xf>
    <xf numFmtId="0" fontId="32" fillId="7" borderId="17" xfId="0" applyFont="1" applyFill="1" applyBorder="1" applyAlignment="1">
      <alignment horizontal="center" vertical="center"/>
    </xf>
    <xf numFmtId="0" fontId="32" fillId="7" borderId="18" xfId="0" applyFont="1" applyFill="1" applyBorder="1" applyAlignment="1">
      <alignment horizontal="center" vertical="center"/>
    </xf>
    <xf numFmtId="0" fontId="48" fillId="7" borderId="16" xfId="0" applyFont="1" applyFill="1" applyBorder="1" applyAlignment="1">
      <alignment horizontal="center" vertical="center"/>
    </xf>
    <xf numFmtId="0" fontId="70" fillId="7" borderId="17" xfId="0" applyFont="1" applyFill="1" applyBorder="1" applyAlignment="1">
      <alignment horizontal="center" vertical="center"/>
    </xf>
    <xf numFmtId="0" fontId="70" fillId="7" borderId="18" xfId="0" applyFont="1" applyFill="1" applyBorder="1" applyAlignment="1">
      <alignment horizontal="center" vertical="center"/>
    </xf>
    <xf numFmtId="0" fontId="70" fillId="7" borderId="16" xfId="0" applyFont="1" applyFill="1" applyBorder="1" applyAlignment="1">
      <alignment horizontal="center" vertical="center"/>
    </xf>
    <xf numFmtId="0" fontId="4" fillId="0" borderId="9" xfId="0" applyFont="1" applyFill="1" applyBorder="1" applyAlignment="1">
      <alignment horizontal="center"/>
    </xf>
    <xf numFmtId="0" fontId="4" fillId="0" borderId="11" xfId="0" applyFont="1" applyFill="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7" fillId="0" borderId="33" xfId="0" applyFont="1" applyBorder="1" applyAlignment="1">
      <alignment horizontal="left"/>
    </xf>
    <xf numFmtId="0" fontId="11" fillId="0" borderId="0" xfId="0" applyFont="1" applyFill="1" applyBorder="1" applyAlignment="1">
      <alignment vertical="center" wrapText="1"/>
    </xf>
    <xf numFmtId="0" fontId="11" fillId="0" borderId="0" xfId="0" applyFont="1" applyAlignment="1"/>
    <xf numFmtId="0" fontId="5" fillId="0" borderId="0" xfId="0" applyFont="1" applyFill="1" applyBorder="1" applyAlignment="1">
      <alignment vertical="center" wrapText="1"/>
    </xf>
    <xf numFmtId="0" fontId="5" fillId="0" borderId="0" xfId="0" applyFont="1" applyAlignment="1"/>
    <xf numFmtId="0" fontId="21" fillId="0" borderId="0" xfId="0" applyFont="1" applyFill="1" applyBorder="1" applyAlignment="1">
      <alignment vertical="center" wrapText="1"/>
    </xf>
    <xf numFmtId="0" fontId="21" fillId="0" borderId="0" xfId="0" applyFont="1" applyAlignment="1"/>
    <xf numFmtId="0" fontId="0" fillId="0" borderId="0" xfId="0" applyAlignment="1"/>
    <xf numFmtId="0" fontId="4" fillId="0" borderId="0"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11" fillId="0" borderId="0" xfId="0" applyFont="1" applyAlignment="1">
      <alignment wrapText="1"/>
    </xf>
    <xf numFmtId="0" fontId="5" fillId="0" borderId="11" xfId="0" applyFont="1" applyFill="1" applyBorder="1" applyAlignment="1">
      <alignment horizontal="center"/>
    </xf>
    <xf numFmtId="0" fontId="4" fillId="3" borderId="8" xfId="0" applyFont="1" applyFill="1" applyBorder="1" applyAlignment="1">
      <alignment horizontal="center"/>
    </xf>
    <xf numFmtId="0" fontId="21" fillId="0" borderId="0" xfId="0" applyFont="1" applyAlignment="1">
      <alignment wrapText="1"/>
    </xf>
    <xf numFmtId="0" fontId="21" fillId="4" borderId="9" xfId="0" applyFont="1" applyFill="1" applyBorder="1" applyAlignment="1">
      <alignment vertical="center" wrapText="1"/>
    </xf>
    <xf numFmtId="0" fontId="21" fillId="4" borderId="10" xfId="0" applyFont="1" applyFill="1" applyBorder="1" applyAlignment="1">
      <alignment vertical="center"/>
    </xf>
    <xf numFmtId="0" fontId="5" fillId="0" borderId="0" xfId="0" applyFont="1" applyAlignment="1">
      <alignment wrapText="1"/>
    </xf>
    <xf numFmtId="0" fontId="0" fillId="0" borderId="0" xfId="0" applyAlignment="1">
      <alignment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52" fillId="0" borderId="0" xfId="0" applyFont="1" applyAlignment="1" applyProtection="1">
      <protection locked="0"/>
    </xf>
    <xf numFmtId="0" fontId="54" fillId="0" borderId="0" xfId="0" applyFont="1" applyAlignment="1" applyProtection="1">
      <protection locked="0"/>
    </xf>
    <xf numFmtId="0" fontId="57" fillId="0" borderId="33" xfId="0" applyFont="1" applyBorder="1" applyAlignment="1" applyProtection="1">
      <alignment horizontal="center" wrapText="1"/>
      <protection locked="0"/>
    </xf>
    <xf numFmtId="0" fontId="58" fillId="0" borderId="4" xfId="0" applyFont="1" applyBorder="1" applyAlignment="1" applyProtection="1">
      <alignment horizontal="center" vertical="center" wrapText="1"/>
      <protection locked="0"/>
    </xf>
    <xf numFmtId="0" fontId="58" fillId="0" borderId="50" xfId="0" applyFont="1" applyBorder="1" applyAlignment="1" applyProtection="1">
      <alignment horizontal="center" vertical="center"/>
      <protection locked="0"/>
    </xf>
    <xf numFmtId="0" fontId="58" fillId="0" borderId="50"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8" fillId="0" borderId="8" xfId="0" applyFont="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29" xfId="0" applyFont="1" applyBorder="1" applyAlignment="1" applyProtection="1">
      <alignment horizontal="center" vertical="center"/>
      <protection locked="0"/>
    </xf>
    <xf numFmtId="0" fontId="55" fillId="0" borderId="23" xfId="0" applyFont="1" applyFill="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55" fillId="0" borderId="23" xfId="0" applyFont="1" applyBorder="1" applyAlignment="1" applyProtection="1">
      <alignment horizontal="center" vertical="center" wrapText="1"/>
      <protection locked="0"/>
    </xf>
    <xf numFmtId="0" fontId="0" fillId="0" borderId="30" xfId="0" applyBorder="1" applyAlignment="1">
      <alignment horizontal="center" vertical="center"/>
    </xf>
    <xf numFmtId="0" fontId="55" fillId="0" borderId="23" xfId="0" applyFont="1" applyFill="1" applyBorder="1" applyAlignment="1" applyProtection="1">
      <alignment horizontal="center" vertical="center" wrapText="1"/>
      <protection locked="0"/>
    </xf>
    <xf numFmtId="0" fontId="55" fillId="0" borderId="0" xfId="0" applyFont="1" applyAlignment="1" applyProtection="1">
      <alignment wrapText="1"/>
      <protection locked="0"/>
    </xf>
    <xf numFmtId="0" fontId="55" fillId="0" borderId="24" xfId="0" quotePrefix="1" applyFont="1" applyFill="1" applyBorder="1" applyAlignment="1" applyProtection="1">
      <alignment horizontal="center" vertical="center"/>
      <protection locked="0"/>
    </xf>
    <xf numFmtId="0" fontId="0" fillId="0" borderId="31" xfId="0" applyBorder="1" applyAlignment="1">
      <alignment horizontal="center" vertical="center"/>
    </xf>
    <xf numFmtId="0" fontId="55" fillId="0" borderId="23" xfId="0" applyFont="1" applyBorder="1" applyAlignment="1" applyProtection="1">
      <alignment horizontal="center" vertical="center"/>
      <protection locked="0"/>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color rgb="FFFFFF99"/>
      <color rgb="FFFF6600"/>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71"/>
  <sheetViews>
    <sheetView view="pageBreakPreview" topLeftCell="A23" zoomScaleNormal="100" zoomScaleSheetLayoutView="100" workbookViewId="0">
      <selection activeCell="E42" sqref="E42:E43"/>
    </sheetView>
  </sheetViews>
  <sheetFormatPr defaultColWidth="9.140625" defaultRowHeight="15" x14ac:dyDescent="0.25"/>
  <cols>
    <col min="1" max="1" width="45.85546875" style="3" customWidth="1"/>
    <col min="2" max="2" width="11.42578125" style="22" customWidth="1"/>
    <col min="3" max="3" width="3.42578125" style="22" customWidth="1"/>
    <col min="4" max="4" width="5.5703125" style="22" customWidth="1"/>
    <col min="5" max="5" width="4.85546875" style="22" customWidth="1"/>
    <col min="6" max="6" width="6.5703125" style="23" customWidth="1"/>
    <col min="7" max="7" width="4.7109375" style="24" customWidth="1"/>
    <col min="8" max="8" width="4.7109375" style="25" customWidth="1"/>
    <col min="9" max="9" width="4" style="26" customWidth="1"/>
    <col min="10" max="10" width="4.85546875" style="27" bestFit="1" customWidth="1"/>
    <col min="11" max="11" width="4.7109375" style="22" customWidth="1"/>
    <col min="12" max="12" width="7.28515625" style="23" customWidth="1"/>
    <col min="13" max="13" width="4.140625" style="24" customWidth="1"/>
    <col min="14" max="14" width="4" style="25" customWidth="1"/>
    <col min="15" max="15" width="4.140625" style="26" customWidth="1"/>
    <col min="16" max="16" width="4.140625" style="27" customWidth="1"/>
    <col min="17" max="17" width="4.42578125" style="22" customWidth="1"/>
    <col min="18" max="18" width="6.28515625" style="403" customWidth="1"/>
    <col min="19" max="19" width="9.140625" style="29"/>
    <col min="20" max="16384" width="9.140625" style="30"/>
  </cols>
  <sheetData>
    <row r="1" spans="1:18" x14ac:dyDescent="0.25">
      <c r="A1" s="2" t="s">
        <v>0</v>
      </c>
      <c r="J1" s="110"/>
      <c r="K1" s="111"/>
      <c r="L1" s="524" t="s">
        <v>39</v>
      </c>
      <c r="M1" s="525"/>
      <c r="N1" s="525"/>
      <c r="O1" s="525"/>
      <c r="P1" s="525"/>
    </row>
    <row r="2" spans="1:18" ht="10.15" customHeight="1" x14ac:dyDescent="0.25">
      <c r="A2" s="2" t="s">
        <v>124</v>
      </c>
      <c r="J2" s="110"/>
      <c r="K2" s="111"/>
      <c r="L2" s="524" t="s">
        <v>291</v>
      </c>
      <c r="M2" s="525"/>
      <c r="N2" s="525"/>
      <c r="O2" s="525"/>
      <c r="P2" s="525"/>
    </row>
    <row r="3" spans="1:18" ht="11.45" customHeight="1" x14ac:dyDescent="0.25">
      <c r="A3" s="2" t="s">
        <v>125</v>
      </c>
    </row>
    <row r="4" spans="1:18" ht="13.15" customHeight="1" x14ac:dyDescent="0.25">
      <c r="A4" s="2" t="s">
        <v>126</v>
      </c>
    </row>
    <row r="5" spans="1:18" ht="15.75" thickBot="1" x14ac:dyDescent="0.3">
      <c r="A5" s="2" t="s">
        <v>127</v>
      </c>
    </row>
    <row r="6" spans="1:18" ht="15.75" thickBot="1" x14ac:dyDescent="0.3">
      <c r="A6" s="402" t="s">
        <v>119</v>
      </c>
      <c r="F6" s="31" t="s">
        <v>32</v>
      </c>
      <c r="G6" s="32"/>
      <c r="H6" s="33"/>
      <c r="I6" s="34"/>
      <c r="J6" s="35"/>
      <c r="K6" s="36"/>
      <c r="L6" s="31" t="s">
        <v>33</v>
      </c>
    </row>
    <row r="7" spans="1:18" ht="15.75" thickBot="1" x14ac:dyDescent="0.3">
      <c r="A7" s="402" t="s">
        <v>120</v>
      </c>
      <c r="F7" s="37"/>
      <c r="G7" s="526" t="s">
        <v>34</v>
      </c>
      <c r="H7" s="527"/>
      <c r="I7" s="527"/>
      <c r="J7" s="527"/>
      <c r="K7" s="528"/>
      <c r="L7" s="38"/>
    </row>
    <row r="9" spans="1:18" ht="15.75" thickBot="1" x14ac:dyDescent="0.3">
      <c r="E9" s="529" t="s">
        <v>292</v>
      </c>
      <c r="F9" s="529"/>
      <c r="G9" s="529"/>
      <c r="H9" s="529"/>
      <c r="I9" s="529"/>
      <c r="J9" s="529"/>
      <c r="K9" s="529"/>
      <c r="L9" s="529"/>
      <c r="M9" s="529"/>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112" t="s">
        <v>11</v>
      </c>
      <c r="O10" s="113" t="s">
        <v>12</v>
      </c>
      <c r="P10" s="47" t="s">
        <v>13</v>
      </c>
      <c r="Q10" s="42" t="s">
        <v>14</v>
      </c>
      <c r="R10" s="404" t="s">
        <v>43</v>
      </c>
    </row>
    <row r="11" spans="1:18" ht="15.75" thickBot="1" x14ac:dyDescent="0.3">
      <c r="A11" s="49" t="s">
        <v>41</v>
      </c>
      <c r="B11" s="114"/>
      <c r="C11" s="51"/>
      <c r="D11" s="51"/>
      <c r="E11" s="51"/>
      <c r="F11" s="52"/>
      <c r="G11" s="53"/>
      <c r="H11" s="54"/>
      <c r="I11" s="55"/>
      <c r="J11" s="56"/>
      <c r="K11" s="51"/>
      <c r="L11" s="52"/>
      <c r="M11" s="53"/>
      <c r="N11" s="115"/>
      <c r="O11" s="116"/>
      <c r="P11" s="56"/>
      <c r="Q11" s="51"/>
      <c r="R11" s="405"/>
    </row>
    <row r="12" spans="1:18" ht="15.75" thickBot="1" x14ac:dyDescent="0.3">
      <c r="A12" s="443" t="s">
        <v>128</v>
      </c>
      <c r="B12" s="430" t="s">
        <v>129</v>
      </c>
      <c r="C12" s="447" t="s">
        <v>107</v>
      </c>
      <c r="D12" s="431" t="s">
        <v>108</v>
      </c>
      <c r="E12" s="432">
        <v>1</v>
      </c>
      <c r="F12" s="433">
        <v>3</v>
      </c>
      <c r="G12" s="434">
        <v>2</v>
      </c>
      <c r="H12" s="435"/>
      <c r="I12" s="436"/>
      <c r="J12" s="437">
        <v>6</v>
      </c>
      <c r="K12" s="432" t="s">
        <v>109</v>
      </c>
      <c r="L12" s="242"/>
      <c r="M12" s="243"/>
      <c r="N12" s="244"/>
      <c r="O12" s="245"/>
      <c r="P12" s="246"/>
      <c r="Q12" s="241"/>
      <c r="R12" s="477">
        <f>25*J12-14*SUM(F12,G12,H12,I12)</f>
        <v>80</v>
      </c>
    </row>
    <row r="13" spans="1:18" ht="15.75" thickBot="1" x14ac:dyDescent="0.3">
      <c r="A13" s="444" t="s">
        <v>130</v>
      </c>
      <c r="B13" s="438" t="s">
        <v>131</v>
      </c>
      <c r="C13" s="447" t="s">
        <v>107</v>
      </c>
      <c r="D13" s="256" t="s">
        <v>108</v>
      </c>
      <c r="E13" s="306">
        <v>1</v>
      </c>
      <c r="F13" s="307">
        <v>3</v>
      </c>
      <c r="G13" s="308">
        <v>2</v>
      </c>
      <c r="H13" s="309"/>
      <c r="I13" s="261"/>
      <c r="J13" s="310">
        <v>6</v>
      </c>
      <c r="K13" s="306" t="s">
        <v>109</v>
      </c>
      <c r="L13" s="293"/>
      <c r="M13" s="294"/>
      <c r="N13" s="295"/>
      <c r="O13" s="296"/>
      <c r="P13" s="297"/>
      <c r="Q13" s="298"/>
      <c r="R13" s="477">
        <f t="shared" ref="R13:R18" si="0">25*J13-14*SUM(F13,G13,H13,I13)</f>
        <v>80</v>
      </c>
    </row>
    <row r="14" spans="1:18" ht="15.75" thickBot="1" x14ac:dyDescent="0.3">
      <c r="A14" s="444" t="s">
        <v>132</v>
      </c>
      <c r="B14" s="438" t="s">
        <v>133</v>
      </c>
      <c r="C14" s="447" t="s">
        <v>107</v>
      </c>
      <c r="D14" s="256" t="s">
        <v>108</v>
      </c>
      <c r="E14" s="306">
        <v>1</v>
      </c>
      <c r="F14" s="307">
        <v>2</v>
      </c>
      <c r="G14" s="308">
        <v>1</v>
      </c>
      <c r="H14" s="309">
        <v>1</v>
      </c>
      <c r="I14" s="261"/>
      <c r="J14" s="310">
        <v>5</v>
      </c>
      <c r="K14" s="306" t="s">
        <v>109</v>
      </c>
      <c r="L14" s="250"/>
      <c r="M14" s="251"/>
      <c r="N14" s="252"/>
      <c r="O14" s="253"/>
      <c r="P14" s="254"/>
      <c r="Q14" s="249"/>
      <c r="R14" s="477">
        <f t="shared" si="0"/>
        <v>69</v>
      </c>
    </row>
    <row r="15" spans="1:18" ht="15.75" thickBot="1" x14ac:dyDescent="0.3">
      <c r="A15" s="445" t="s">
        <v>134</v>
      </c>
      <c r="B15" s="438" t="s">
        <v>135</v>
      </c>
      <c r="C15" s="447" t="s">
        <v>107</v>
      </c>
      <c r="D15" s="256" t="s">
        <v>108</v>
      </c>
      <c r="E15" s="439">
        <v>1</v>
      </c>
      <c r="F15" s="307">
        <v>2</v>
      </c>
      <c r="G15" s="308">
        <v>1</v>
      </c>
      <c r="H15" s="309"/>
      <c r="I15" s="440"/>
      <c r="J15" s="310">
        <v>3</v>
      </c>
      <c r="K15" s="306" t="s">
        <v>109</v>
      </c>
      <c r="L15" s="301"/>
      <c r="M15" s="302"/>
      <c r="N15" s="302"/>
      <c r="O15" s="300"/>
      <c r="P15" s="303"/>
      <c r="Q15" s="304"/>
      <c r="R15" s="477">
        <f t="shared" si="0"/>
        <v>33</v>
      </c>
    </row>
    <row r="16" spans="1:18" ht="25.15" customHeight="1" thickBot="1" x14ac:dyDescent="0.3">
      <c r="A16" s="445" t="s">
        <v>136</v>
      </c>
      <c r="B16" s="438" t="s">
        <v>137</v>
      </c>
      <c r="C16" s="447" t="s">
        <v>107</v>
      </c>
      <c r="D16" s="256" t="s">
        <v>108</v>
      </c>
      <c r="E16" s="306">
        <v>1</v>
      </c>
      <c r="F16" s="476">
        <v>2</v>
      </c>
      <c r="G16" s="308"/>
      <c r="H16" s="309">
        <v>2</v>
      </c>
      <c r="I16" s="261"/>
      <c r="J16" s="310">
        <v>6</v>
      </c>
      <c r="K16" s="306" t="s">
        <v>109</v>
      </c>
      <c r="L16" s="250"/>
      <c r="M16" s="251"/>
      <c r="N16" s="252"/>
      <c r="O16" s="253"/>
      <c r="P16" s="254"/>
      <c r="Q16" s="249"/>
      <c r="R16" s="477">
        <f t="shared" si="0"/>
        <v>94</v>
      </c>
    </row>
    <row r="17" spans="1:19" ht="15.75" thickBot="1" x14ac:dyDescent="0.3">
      <c r="A17" s="445" t="s">
        <v>138</v>
      </c>
      <c r="B17" s="264" t="s">
        <v>139</v>
      </c>
      <c r="C17" s="447" t="s">
        <v>107</v>
      </c>
      <c r="D17" s="256" t="s">
        <v>108</v>
      </c>
      <c r="E17" s="306">
        <v>1</v>
      </c>
      <c r="F17" s="476">
        <v>2</v>
      </c>
      <c r="G17" s="308"/>
      <c r="H17" s="309">
        <v>1</v>
      </c>
      <c r="I17" s="440"/>
      <c r="J17" s="310">
        <v>2</v>
      </c>
      <c r="K17" s="306" t="s">
        <v>110</v>
      </c>
      <c r="L17" s="301"/>
      <c r="M17" s="302"/>
      <c r="N17" s="302"/>
      <c r="O17" s="300"/>
      <c r="P17" s="303"/>
      <c r="Q17" s="304"/>
      <c r="R17" s="477">
        <f t="shared" si="0"/>
        <v>8</v>
      </c>
    </row>
    <row r="18" spans="1:19" s="442" customFormat="1" x14ac:dyDescent="0.25">
      <c r="A18" s="445" t="s">
        <v>140</v>
      </c>
      <c r="B18" s="264" t="s">
        <v>141</v>
      </c>
      <c r="C18" s="447" t="s">
        <v>112</v>
      </c>
      <c r="D18" s="256" t="s">
        <v>108</v>
      </c>
      <c r="E18" s="306">
        <v>1</v>
      </c>
      <c r="F18" s="307">
        <v>1</v>
      </c>
      <c r="G18" s="308">
        <v>1</v>
      </c>
      <c r="H18" s="309"/>
      <c r="I18" s="261"/>
      <c r="J18" s="310">
        <v>2</v>
      </c>
      <c r="K18" s="306" t="s">
        <v>110</v>
      </c>
      <c r="L18" s="258"/>
      <c r="M18" s="259"/>
      <c r="N18" s="260"/>
      <c r="O18" s="261"/>
      <c r="P18" s="262"/>
      <c r="Q18" s="257"/>
      <c r="R18" s="477">
        <f t="shared" si="0"/>
        <v>22</v>
      </c>
      <c r="S18" s="441"/>
    </row>
    <row r="19" spans="1:19" x14ac:dyDescent="0.25">
      <c r="A19" s="426" t="s">
        <v>142</v>
      </c>
      <c r="B19" s="247" t="s">
        <v>149</v>
      </c>
      <c r="C19" s="446" t="s">
        <v>107</v>
      </c>
      <c r="D19" s="299" t="s">
        <v>108</v>
      </c>
      <c r="E19" s="288">
        <v>1</v>
      </c>
      <c r="F19" s="289"/>
      <c r="G19" s="290"/>
      <c r="H19" s="291"/>
      <c r="I19" s="253"/>
      <c r="J19" s="292"/>
      <c r="K19" s="288"/>
      <c r="L19" s="289">
        <v>2</v>
      </c>
      <c r="M19" s="251">
        <v>1</v>
      </c>
      <c r="N19" s="305">
        <v>1</v>
      </c>
      <c r="O19" s="253"/>
      <c r="P19" s="292">
        <v>4</v>
      </c>
      <c r="Q19" s="288" t="s">
        <v>109</v>
      </c>
      <c r="R19" s="477">
        <f t="shared" ref="R19:R24" si="1">25*P19-14*SUM(L19,M19,N19,O19)</f>
        <v>44</v>
      </c>
    </row>
    <row r="20" spans="1:19" x14ac:dyDescent="0.25">
      <c r="A20" s="427" t="s">
        <v>143</v>
      </c>
      <c r="B20" s="247" t="s">
        <v>150</v>
      </c>
      <c r="C20" s="446" t="s">
        <v>107</v>
      </c>
      <c r="D20" s="299" t="s">
        <v>108</v>
      </c>
      <c r="E20" s="288">
        <v>1</v>
      </c>
      <c r="F20" s="289"/>
      <c r="G20" s="290"/>
      <c r="H20" s="291"/>
      <c r="I20" s="300"/>
      <c r="J20" s="292"/>
      <c r="K20" s="288"/>
      <c r="L20" s="289">
        <v>3</v>
      </c>
      <c r="M20" s="290">
        <v>2</v>
      </c>
      <c r="N20" s="305"/>
      <c r="O20" s="300"/>
      <c r="P20" s="292">
        <v>6</v>
      </c>
      <c r="Q20" s="288" t="s">
        <v>109</v>
      </c>
      <c r="R20" s="477">
        <f t="shared" si="1"/>
        <v>80</v>
      </c>
    </row>
    <row r="21" spans="1:19" ht="30" x14ac:dyDescent="0.25">
      <c r="A21" s="426" t="s">
        <v>144</v>
      </c>
      <c r="B21" s="247" t="s">
        <v>151</v>
      </c>
      <c r="C21" s="446" t="s">
        <v>111</v>
      </c>
      <c r="D21" s="299" t="s">
        <v>108</v>
      </c>
      <c r="E21" s="288">
        <v>1</v>
      </c>
      <c r="F21" s="289"/>
      <c r="G21" s="290"/>
      <c r="H21" s="291"/>
      <c r="I21" s="300"/>
      <c r="J21" s="292"/>
      <c r="K21" s="288"/>
      <c r="L21" s="289">
        <v>3</v>
      </c>
      <c r="M21" s="290">
        <v>1</v>
      </c>
      <c r="N21" s="305">
        <v>1</v>
      </c>
      <c r="O21" s="300"/>
      <c r="P21" s="292">
        <v>6</v>
      </c>
      <c r="Q21" s="288" t="s">
        <v>109</v>
      </c>
      <c r="R21" s="477">
        <f t="shared" si="1"/>
        <v>80</v>
      </c>
    </row>
    <row r="22" spans="1:19" ht="30" x14ac:dyDescent="0.25">
      <c r="A22" s="427" t="s">
        <v>145</v>
      </c>
      <c r="B22" s="247" t="s">
        <v>152</v>
      </c>
      <c r="C22" s="446" t="s">
        <v>111</v>
      </c>
      <c r="D22" s="299" t="s">
        <v>108</v>
      </c>
      <c r="E22" s="288">
        <v>1</v>
      </c>
      <c r="F22" s="289"/>
      <c r="G22" s="290"/>
      <c r="H22" s="291"/>
      <c r="I22" s="300"/>
      <c r="J22" s="292"/>
      <c r="K22" s="288"/>
      <c r="L22" s="289">
        <v>2</v>
      </c>
      <c r="M22" s="290"/>
      <c r="N22" s="305">
        <v>1</v>
      </c>
      <c r="O22" s="300"/>
      <c r="P22" s="292">
        <v>5</v>
      </c>
      <c r="Q22" s="288" t="s">
        <v>109</v>
      </c>
      <c r="R22" s="477">
        <f t="shared" si="1"/>
        <v>83</v>
      </c>
    </row>
    <row r="23" spans="1:19" ht="30" x14ac:dyDescent="0.25">
      <c r="A23" s="427" t="s">
        <v>146</v>
      </c>
      <c r="B23" s="247" t="s">
        <v>153</v>
      </c>
      <c r="C23" s="446" t="s">
        <v>111</v>
      </c>
      <c r="D23" s="299" t="s">
        <v>108</v>
      </c>
      <c r="E23" s="288">
        <v>1</v>
      </c>
      <c r="F23" s="289"/>
      <c r="G23" s="290"/>
      <c r="H23" s="291"/>
      <c r="I23" s="300"/>
      <c r="J23" s="292"/>
      <c r="K23" s="288"/>
      <c r="L23" s="289">
        <v>2</v>
      </c>
      <c r="M23" s="290">
        <v>2</v>
      </c>
      <c r="N23" s="305"/>
      <c r="O23" s="300"/>
      <c r="P23" s="292">
        <v>4</v>
      </c>
      <c r="Q23" s="288" t="s">
        <v>109</v>
      </c>
      <c r="R23" s="477">
        <f t="shared" si="1"/>
        <v>44</v>
      </c>
    </row>
    <row r="24" spans="1:19" x14ac:dyDescent="0.25">
      <c r="A24" s="427" t="s">
        <v>147</v>
      </c>
      <c r="B24" s="247" t="s">
        <v>154</v>
      </c>
      <c r="C24" s="446" t="s">
        <v>107</v>
      </c>
      <c r="D24" s="299" t="s">
        <v>108</v>
      </c>
      <c r="E24" s="288">
        <v>1</v>
      </c>
      <c r="F24" s="289"/>
      <c r="G24" s="290"/>
      <c r="H24" s="291"/>
      <c r="I24" s="300"/>
      <c r="J24" s="292"/>
      <c r="K24" s="288"/>
      <c r="L24" s="289">
        <v>1</v>
      </c>
      <c r="M24" s="290"/>
      <c r="N24" s="305">
        <v>2</v>
      </c>
      <c r="O24" s="300"/>
      <c r="P24" s="292">
        <v>3</v>
      </c>
      <c r="Q24" s="288" t="s">
        <v>110</v>
      </c>
      <c r="R24" s="477">
        <f t="shared" si="1"/>
        <v>33</v>
      </c>
    </row>
    <row r="25" spans="1:19" ht="15" customHeight="1" x14ac:dyDescent="0.25">
      <c r="A25" s="427" t="s">
        <v>148</v>
      </c>
      <c r="B25" s="247" t="s">
        <v>155</v>
      </c>
      <c r="C25" s="428" t="s">
        <v>112</v>
      </c>
      <c r="D25" s="248" t="s">
        <v>108</v>
      </c>
      <c r="E25" s="288">
        <v>1</v>
      </c>
      <c r="F25" s="289"/>
      <c r="G25" s="290"/>
      <c r="H25" s="291"/>
      <c r="I25" s="253"/>
      <c r="J25" s="292"/>
      <c r="K25" s="288"/>
      <c r="L25" s="289">
        <v>1</v>
      </c>
      <c r="M25" s="290">
        <v>1</v>
      </c>
      <c r="N25" s="305"/>
      <c r="O25" s="253"/>
      <c r="P25" s="292">
        <v>2</v>
      </c>
      <c r="Q25" s="288" t="s">
        <v>110</v>
      </c>
      <c r="R25" s="477">
        <f>25*P25-14*SUM(L25,M25,N25,O25)</f>
        <v>22</v>
      </c>
    </row>
    <row r="26" spans="1:19" ht="15" customHeight="1" x14ac:dyDescent="0.25">
      <c r="A26" s="427" t="s">
        <v>156</v>
      </c>
      <c r="B26" s="247" t="s">
        <v>157</v>
      </c>
      <c r="C26" s="428" t="s">
        <v>112</v>
      </c>
      <c r="D26" s="248" t="s">
        <v>108</v>
      </c>
      <c r="E26" s="249">
        <v>1</v>
      </c>
      <c r="F26" s="250"/>
      <c r="G26" s="251">
        <v>1</v>
      </c>
      <c r="H26" s="252"/>
      <c r="I26" s="253"/>
      <c r="J26" s="254" t="s">
        <v>121</v>
      </c>
      <c r="K26" s="249" t="s">
        <v>113</v>
      </c>
      <c r="L26" s="250"/>
      <c r="M26" s="251"/>
      <c r="N26" s="252"/>
      <c r="O26" s="253"/>
      <c r="P26" s="254"/>
      <c r="Q26" s="249"/>
      <c r="R26" s="477">
        <v>11</v>
      </c>
    </row>
    <row r="27" spans="1:19" ht="15" customHeight="1" x14ac:dyDescent="0.25">
      <c r="A27" s="427" t="s">
        <v>158</v>
      </c>
      <c r="B27" s="247" t="s">
        <v>159</v>
      </c>
      <c r="C27" s="429" t="s">
        <v>112</v>
      </c>
      <c r="D27" s="256" t="s">
        <v>108</v>
      </c>
      <c r="E27" s="257">
        <v>1</v>
      </c>
      <c r="F27" s="258"/>
      <c r="G27" s="259"/>
      <c r="H27" s="260"/>
      <c r="I27" s="261"/>
      <c r="J27" s="262"/>
      <c r="K27" s="257"/>
      <c r="L27" s="258"/>
      <c r="M27" s="259">
        <v>1</v>
      </c>
      <c r="N27" s="260"/>
      <c r="O27" s="261"/>
      <c r="P27" s="255" t="s">
        <v>121</v>
      </c>
      <c r="Q27" s="249" t="s">
        <v>113</v>
      </c>
      <c r="R27" s="477">
        <v>11</v>
      </c>
    </row>
    <row r="28" spans="1:19" ht="15" customHeight="1" x14ac:dyDescent="0.25">
      <c r="A28" s="5"/>
      <c r="B28" s="94"/>
      <c r="C28" s="7"/>
      <c r="D28" s="7"/>
      <c r="E28" s="8"/>
      <c r="F28" s="9"/>
      <c r="G28" s="10"/>
      <c r="H28" s="11"/>
      <c r="I28" s="12"/>
      <c r="J28" s="13"/>
      <c r="K28" s="8"/>
      <c r="L28" s="9"/>
      <c r="M28" s="10"/>
      <c r="N28" s="11"/>
      <c r="O28" s="12"/>
      <c r="P28" s="13"/>
      <c r="Q28" s="8"/>
      <c r="R28" s="477"/>
    </row>
    <row r="29" spans="1:19" ht="15" customHeight="1" x14ac:dyDescent="0.25">
      <c r="A29" s="5"/>
      <c r="B29" s="94"/>
      <c r="C29" s="7"/>
      <c r="D29" s="7"/>
      <c r="E29" s="8"/>
      <c r="F29" s="9"/>
      <c r="G29" s="10"/>
      <c r="H29" s="11"/>
      <c r="I29" s="12"/>
      <c r="J29" s="13"/>
      <c r="K29" s="8"/>
      <c r="L29" s="9"/>
      <c r="M29" s="10"/>
      <c r="N29" s="11"/>
      <c r="O29" s="12"/>
      <c r="P29" s="13"/>
      <c r="Q29" s="8"/>
      <c r="R29" s="477"/>
    </row>
    <row r="30" spans="1:19" ht="15" customHeight="1" x14ac:dyDescent="0.25">
      <c r="A30" s="5"/>
      <c r="B30" s="94"/>
      <c r="C30" s="7"/>
      <c r="D30" s="7"/>
      <c r="E30" s="8"/>
      <c r="F30" s="9"/>
      <c r="G30" s="10"/>
      <c r="H30" s="11"/>
      <c r="I30" s="12"/>
      <c r="J30" s="13"/>
      <c r="K30" s="8"/>
      <c r="L30" s="9"/>
      <c r="M30" s="10"/>
      <c r="N30" s="11"/>
      <c r="O30" s="12"/>
      <c r="P30" s="13"/>
      <c r="Q30" s="8"/>
      <c r="R30" s="477"/>
    </row>
    <row r="31" spans="1:19" ht="15" customHeight="1" x14ac:dyDescent="0.25">
      <c r="A31" s="5"/>
      <c r="B31" s="94"/>
      <c r="C31" s="7"/>
      <c r="D31" s="7"/>
      <c r="E31" s="8"/>
      <c r="F31" s="9"/>
      <c r="G31" s="10"/>
      <c r="H31" s="11"/>
      <c r="I31" s="12"/>
      <c r="J31" s="13"/>
      <c r="K31" s="8"/>
      <c r="L31" s="9"/>
      <c r="M31" s="10"/>
      <c r="N31" s="11"/>
      <c r="O31" s="12"/>
      <c r="P31" s="13"/>
      <c r="Q31" s="8"/>
      <c r="R31" s="477"/>
    </row>
    <row r="32" spans="1:19" ht="15" customHeight="1" x14ac:dyDescent="0.25">
      <c r="A32" s="5"/>
      <c r="B32" s="94"/>
      <c r="C32" s="7"/>
      <c r="D32" s="7"/>
      <c r="E32" s="8"/>
      <c r="F32" s="9"/>
      <c r="G32" s="10"/>
      <c r="H32" s="11"/>
      <c r="I32" s="12"/>
      <c r="J32" s="13"/>
      <c r="K32" s="8"/>
      <c r="L32" s="9"/>
      <c r="M32" s="10"/>
      <c r="N32" s="11"/>
      <c r="O32" s="12"/>
      <c r="P32" s="13"/>
      <c r="Q32" s="8"/>
      <c r="R32" s="477"/>
    </row>
    <row r="33" spans="1:18" ht="15" customHeight="1" x14ac:dyDescent="0.25">
      <c r="A33" s="5"/>
      <c r="B33" s="94"/>
      <c r="C33" s="7"/>
      <c r="D33" s="7"/>
      <c r="E33" s="8"/>
      <c r="F33" s="9"/>
      <c r="G33" s="10"/>
      <c r="H33" s="11"/>
      <c r="I33" s="12"/>
      <c r="J33" s="13"/>
      <c r="K33" s="8"/>
      <c r="L33" s="9"/>
      <c r="M33" s="10"/>
      <c r="N33" s="11"/>
      <c r="O33" s="12"/>
      <c r="P33" s="13"/>
      <c r="Q33" s="8"/>
      <c r="R33" s="477"/>
    </row>
    <row r="34" spans="1:18" ht="15" customHeight="1" x14ac:dyDescent="0.25">
      <c r="A34" s="5"/>
      <c r="B34" s="6"/>
      <c r="C34" s="7"/>
      <c r="D34" s="7"/>
      <c r="E34" s="8"/>
      <c r="F34" s="9"/>
      <c r="G34" s="117"/>
      <c r="H34" s="118"/>
      <c r="I34" s="119"/>
      <c r="J34" s="13"/>
      <c r="K34" s="8"/>
      <c r="L34" s="9"/>
      <c r="M34" s="117"/>
      <c r="N34" s="118"/>
      <c r="O34" s="119"/>
      <c r="P34" s="13"/>
      <c r="Q34" s="8"/>
      <c r="R34" s="477"/>
    </row>
    <row r="35" spans="1:18" ht="15" customHeight="1" thickBot="1" x14ac:dyDescent="0.3">
      <c r="A35" s="5"/>
      <c r="B35" s="6"/>
      <c r="C35" s="7"/>
      <c r="D35" s="7"/>
      <c r="E35" s="8"/>
      <c r="F35" s="9"/>
      <c r="G35" s="117"/>
      <c r="H35" s="118"/>
      <c r="I35" s="119"/>
      <c r="J35" s="13"/>
      <c r="K35" s="8"/>
      <c r="L35" s="9"/>
      <c r="M35" s="117"/>
      <c r="N35" s="118"/>
      <c r="O35" s="119"/>
      <c r="P35" s="13"/>
      <c r="Q35" s="8"/>
      <c r="R35" s="477"/>
    </row>
    <row r="36" spans="1:18" ht="15" customHeight="1" thickBot="1" x14ac:dyDescent="0.3">
      <c r="A36" s="58" t="s">
        <v>23</v>
      </c>
      <c r="B36" s="59"/>
      <c r="C36" s="59"/>
      <c r="D36" s="59"/>
      <c r="E36" s="60"/>
      <c r="F36" s="61">
        <f>SUMIFS(F12:F35,$E12:$E35,"=1")</f>
        <v>15</v>
      </c>
      <c r="G36" s="62">
        <f>SUMIFS(G12:G35,$E12:$E35,"=1")</f>
        <v>8</v>
      </c>
      <c r="H36" s="63">
        <f>SUMIFS(H12:H35,$E12:$E35,"=1")</f>
        <v>4</v>
      </c>
      <c r="I36" s="64">
        <f>SUMIFS(I12:I35,$E12:$E35,"=1")</f>
        <v>0</v>
      </c>
      <c r="J36" s="65">
        <f>SUMIFS(J12:J35,$E12:$E35,"=1")+SUMIFS(J12:J35,$D12:$D35,"=DI",$E12:$E35,"=2")</f>
        <v>30</v>
      </c>
      <c r="K36" s="60"/>
      <c r="L36" s="61">
        <f>SUMIFS(L12:L35,$E12:$E35,"=1")</f>
        <v>14</v>
      </c>
      <c r="M36" s="62">
        <f>SUMIFS(M12:M35,$E12:$E35,"=1")</f>
        <v>8</v>
      </c>
      <c r="N36" s="63">
        <f>SUMIFS(N12:N35,$E12:$E35,"=1")</f>
        <v>5</v>
      </c>
      <c r="O36" s="64">
        <f>SUMIFS(O12:O35,$E12:$E35,"=1")</f>
        <v>0</v>
      </c>
      <c r="P36" s="65">
        <f>SUMIFS(P12:P35,$E12:$E35,"=1")+SUMIFS(P12:P35,$D12:$D35,"=DI",$E12:$E35,"=2")</f>
        <v>30</v>
      </c>
      <c r="Q36" s="60"/>
      <c r="R36" s="407"/>
    </row>
    <row r="37" spans="1:18" ht="15" customHeight="1" thickBot="1" x14ac:dyDescent="0.3">
      <c r="A37" s="66"/>
      <c r="B37" s="20"/>
      <c r="C37" s="20"/>
      <c r="D37" s="20"/>
      <c r="E37" s="20"/>
      <c r="F37" s="20"/>
      <c r="G37" s="20"/>
      <c r="H37" s="20"/>
      <c r="I37" s="20"/>
      <c r="J37" s="20"/>
      <c r="K37" s="20"/>
      <c r="L37" s="20"/>
      <c r="M37" s="20"/>
      <c r="N37" s="20"/>
      <c r="O37" s="20"/>
      <c r="P37" s="20"/>
      <c r="Q37" s="20"/>
      <c r="R37" s="408"/>
    </row>
    <row r="38" spans="1:18" ht="15" customHeight="1" thickBot="1" x14ac:dyDescent="0.3">
      <c r="A38" s="120" t="s">
        <v>40</v>
      </c>
      <c r="B38" s="121"/>
      <c r="C38" s="67"/>
      <c r="D38" s="67"/>
      <c r="E38" s="67"/>
      <c r="F38" s="68"/>
      <c r="G38" s="122"/>
      <c r="H38" s="123"/>
      <c r="I38" s="124"/>
      <c r="J38" s="72"/>
      <c r="K38" s="67"/>
      <c r="L38" s="68"/>
      <c r="M38" s="122"/>
      <c r="N38" s="123"/>
      <c r="O38" s="124"/>
      <c r="P38" s="72"/>
      <c r="Q38" s="73"/>
      <c r="R38" s="409"/>
    </row>
    <row r="39" spans="1:18" ht="27.6" customHeight="1" x14ac:dyDescent="0.25">
      <c r="A39" s="444" t="s">
        <v>160</v>
      </c>
      <c r="B39" s="247" t="s">
        <v>161</v>
      </c>
      <c r="C39" s="428" t="s">
        <v>112</v>
      </c>
      <c r="D39" s="248" t="s">
        <v>162</v>
      </c>
      <c r="E39" s="249">
        <v>0</v>
      </c>
      <c r="F39" s="289"/>
      <c r="G39" s="290"/>
      <c r="H39" s="305"/>
      <c r="I39" s="253"/>
      <c r="J39" s="292"/>
      <c r="K39" s="288"/>
      <c r="L39" s="289">
        <v>2</v>
      </c>
      <c r="M39" s="290"/>
      <c r="N39" s="305"/>
      <c r="O39" s="253"/>
      <c r="P39" s="254">
        <v>2</v>
      </c>
      <c r="Q39" s="249" t="s">
        <v>110</v>
      </c>
      <c r="R39" s="331"/>
    </row>
    <row r="40" spans="1:18" ht="15" customHeight="1" x14ac:dyDescent="0.25">
      <c r="A40" s="444" t="s">
        <v>163</v>
      </c>
      <c r="B40" s="247" t="s">
        <v>164</v>
      </c>
      <c r="C40" s="428" t="s">
        <v>112</v>
      </c>
      <c r="D40" s="248" t="s">
        <v>162</v>
      </c>
      <c r="E40" s="249">
        <v>0</v>
      </c>
      <c r="F40" s="289"/>
      <c r="G40" s="290"/>
      <c r="H40" s="291"/>
      <c r="I40" s="253"/>
      <c r="J40" s="292"/>
      <c r="K40" s="288"/>
      <c r="L40" s="289">
        <v>2</v>
      </c>
      <c r="M40" s="290"/>
      <c r="N40" s="305">
        <v>2</v>
      </c>
      <c r="O40" s="253"/>
      <c r="P40" s="292">
        <v>4</v>
      </c>
      <c r="Q40" s="288" t="s">
        <v>110</v>
      </c>
      <c r="R40" s="57"/>
    </row>
    <row r="41" spans="1:18" ht="15" customHeight="1" x14ac:dyDescent="0.25">
      <c r="A41" s="480" t="s">
        <v>297</v>
      </c>
      <c r="B41" s="481" t="s">
        <v>298</v>
      </c>
      <c r="C41" s="450" t="s">
        <v>112</v>
      </c>
      <c r="D41" s="482" t="s">
        <v>162</v>
      </c>
      <c r="E41" s="483">
        <v>0</v>
      </c>
      <c r="F41" s="484"/>
      <c r="G41" s="485"/>
      <c r="H41" s="485"/>
      <c r="I41" s="486"/>
      <c r="J41" s="487"/>
      <c r="K41" s="483"/>
      <c r="L41" s="488">
        <v>1</v>
      </c>
      <c r="M41" s="489">
        <v>1</v>
      </c>
      <c r="N41" s="485"/>
      <c r="O41" s="486"/>
      <c r="P41" s="487">
        <v>2</v>
      </c>
      <c r="Q41" s="483" t="s">
        <v>110</v>
      </c>
      <c r="R41" s="331"/>
    </row>
    <row r="42" spans="1:18" ht="15" customHeight="1" x14ac:dyDescent="0.25">
      <c r="A42" s="287"/>
      <c r="B42" s="247"/>
      <c r="C42" s="299"/>
      <c r="D42" s="299"/>
      <c r="E42" s="288"/>
      <c r="F42" s="289"/>
      <c r="G42" s="290"/>
      <c r="H42" s="305"/>
      <c r="I42" s="300"/>
      <c r="J42" s="292"/>
      <c r="K42" s="288"/>
      <c r="L42" s="250"/>
      <c r="M42" s="251"/>
      <c r="N42" s="252"/>
      <c r="O42" s="253"/>
      <c r="P42" s="254"/>
      <c r="Q42" s="249"/>
      <c r="R42" s="331"/>
    </row>
    <row r="43" spans="1:18" ht="15" customHeight="1" x14ac:dyDescent="0.25">
      <c r="A43" s="5"/>
      <c r="B43" s="6"/>
      <c r="C43" s="7"/>
      <c r="D43" s="7"/>
      <c r="E43" s="105"/>
      <c r="F43" s="9"/>
      <c r="G43" s="117"/>
      <c r="H43" s="118"/>
      <c r="I43" s="119"/>
      <c r="J43" s="13"/>
      <c r="K43" s="8"/>
      <c r="L43" s="9"/>
      <c r="M43" s="117"/>
      <c r="N43" s="118"/>
      <c r="O43" s="119"/>
      <c r="P43" s="13"/>
      <c r="Q43" s="8"/>
      <c r="R43" s="331"/>
    </row>
    <row r="44" spans="1:18" ht="15" customHeight="1" x14ac:dyDescent="0.25">
      <c r="A44" s="5"/>
      <c r="B44" s="6"/>
      <c r="C44" s="7"/>
      <c r="D44" s="7"/>
      <c r="E44" s="105"/>
      <c r="F44" s="9"/>
      <c r="G44" s="117"/>
      <c r="H44" s="118"/>
      <c r="I44" s="119"/>
      <c r="J44" s="13"/>
      <c r="K44" s="8"/>
      <c r="L44" s="9"/>
      <c r="M44" s="117"/>
      <c r="N44" s="118"/>
      <c r="O44" s="119"/>
      <c r="P44" s="13"/>
      <c r="Q44" s="8"/>
      <c r="R44" s="331"/>
    </row>
    <row r="45" spans="1:18" ht="15" customHeight="1" x14ac:dyDescent="0.25">
      <c r="A45" s="5"/>
      <c r="B45" s="6"/>
      <c r="C45" s="7"/>
      <c r="D45" s="7"/>
      <c r="E45" s="105"/>
      <c r="F45" s="9"/>
      <c r="G45" s="117"/>
      <c r="H45" s="118"/>
      <c r="I45" s="119"/>
      <c r="J45" s="13"/>
      <c r="K45" s="8"/>
      <c r="L45" s="9"/>
      <c r="M45" s="117"/>
      <c r="N45" s="118"/>
      <c r="O45" s="119"/>
      <c r="P45" s="13"/>
      <c r="Q45" s="8"/>
      <c r="R45" s="331"/>
    </row>
    <row r="46" spans="1:18" ht="15" customHeight="1" x14ac:dyDescent="0.25">
      <c r="A46" s="5"/>
      <c r="B46" s="6"/>
      <c r="C46" s="7"/>
      <c r="D46" s="7"/>
      <c r="E46" s="105"/>
      <c r="F46" s="9"/>
      <c r="G46" s="117"/>
      <c r="H46" s="118"/>
      <c r="I46" s="119"/>
      <c r="J46" s="13"/>
      <c r="K46" s="8"/>
      <c r="L46" s="9"/>
      <c r="M46" s="117"/>
      <c r="N46" s="118"/>
      <c r="O46" s="119"/>
      <c r="P46" s="13"/>
      <c r="Q46" s="8"/>
      <c r="R46" s="331"/>
    </row>
    <row r="47" spans="1:18" ht="15" customHeight="1" x14ac:dyDescent="0.25">
      <c r="A47" s="5"/>
      <c r="B47" s="6"/>
      <c r="C47" s="7"/>
      <c r="D47" s="7"/>
      <c r="E47" s="105"/>
      <c r="F47" s="9"/>
      <c r="G47" s="117"/>
      <c r="H47" s="118"/>
      <c r="I47" s="119"/>
      <c r="J47" s="13"/>
      <c r="K47" s="8"/>
      <c r="L47" s="9"/>
      <c r="M47" s="117"/>
      <c r="N47" s="118"/>
      <c r="O47" s="119"/>
      <c r="P47" s="13"/>
      <c r="Q47" s="8"/>
      <c r="R47" s="331"/>
    </row>
    <row r="48" spans="1:18" ht="15" customHeight="1" thickBot="1" x14ac:dyDescent="0.3">
      <c r="A48" s="5"/>
      <c r="B48" s="6"/>
      <c r="C48" s="7"/>
      <c r="D48" s="7"/>
      <c r="E48" s="105"/>
      <c r="F48" s="125"/>
      <c r="G48" s="126"/>
      <c r="H48" s="127"/>
      <c r="I48" s="128"/>
      <c r="J48" s="13"/>
      <c r="K48" s="8"/>
      <c r="L48" s="9"/>
      <c r="M48" s="117"/>
      <c r="N48" s="118"/>
      <c r="O48" s="119"/>
      <c r="P48" s="13"/>
      <c r="Q48" s="8"/>
      <c r="R48" s="331"/>
    </row>
    <row r="49" spans="1:19" ht="15" customHeight="1" thickBot="1" x14ac:dyDescent="0.3">
      <c r="A49" s="84" t="s">
        <v>23</v>
      </c>
      <c r="B49" s="129"/>
      <c r="C49" s="129"/>
      <c r="D49" s="129"/>
      <c r="E49" s="129"/>
      <c r="F49" s="130">
        <f>SUMIFS(F39:F48,$D39:$D48,"=DFac")</f>
        <v>0</v>
      </c>
      <c r="G49" s="131">
        <f>SUMIFS(G39:G48,$D39:$D48,"=DFac")</f>
        <v>0</v>
      </c>
      <c r="H49" s="132">
        <f>SUMIFS(H39:H48,$D39:$D48,"=DFac")</f>
        <v>0</v>
      </c>
      <c r="I49" s="133">
        <f>SUMIFS(I39:I48,$D39:$D48,"=DFac")</f>
        <v>0</v>
      </c>
      <c r="J49" s="228">
        <f>SUMIFS(J39:J48,$D39:$D48,"=DFac")</f>
        <v>0</v>
      </c>
      <c r="K49" s="134"/>
      <c r="L49" s="130">
        <f>SUMIFS(L39:L48,$D39:$D48,"=DFac")</f>
        <v>5</v>
      </c>
      <c r="M49" s="131">
        <f>SUMIFS(M39:M48,$D39:$D48,"=DFac")</f>
        <v>1</v>
      </c>
      <c r="N49" s="132">
        <f>SUMIFS(N39:N48,$D39:$D48,"=DFac")</f>
        <v>2</v>
      </c>
      <c r="O49" s="133">
        <f>SUMIFS(O39:O48,$D39:$D48,"=DFac")</f>
        <v>0</v>
      </c>
      <c r="P49" s="228">
        <f>SUMIFS(P39:P48,$D39:$D48,"=DFac")</f>
        <v>8</v>
      </c>
      <c r="Q49" s="134"/>
      <c r="R49" s="410"/>
    </row>
    <row r="50" spans="1:19" s="106" customFormat="1" ht="15" customHeight="1" x14ac:dyDescent="0.25">
      <c r="A50" s="230"/>
      <c r="B50" s="231"/>
      <c r="C50" s="231"/>
      <c r="D50" s="231"/>
      <c r="E50" s="231"/>
      <c r="F50" s="231"/>
      <c r="G50" s="231"/>
      <c r="H50" s="231"/>
      <c r="I50" s="231"/>
      <c r="J50" s="232"/>
      <c r="K50" s="231"/>
      <c r="L50" s="231"/>
      <c r="M50" s="231"/>
      <c r="N50" s="231"/>
      <c r="O50" s="231"/>
      <c r="P50" s="232"/>
      <c r="Q50" s="231"/>
      <c r="R50" s="403"/>
      <c r="S50" s="29"/>
    </row>
    <row r="51" spans="1:19" ht="15" customHeight="1" x14ac:dyDescent="0.25">
      <c r="A51" s="530" t="s">
        <v>122</v>
      </c>
      <c r="B51" s="531"/>
      <c r="C51" s="531"/>
      <c r="D51" s="531"/>
      <c r="E51" s="531"/>
      <c r="F51" s="531"/>
      <c r="G51" s="531"/>
      <c r="H51" s="531"/>
      <c r="I51" s="531"/>
      <c r="J51" s="531"/>
      <c r="K51" s="531"/>
      <c r="L51" s="531"/>
      <c r="M51" s="531"/>
      <c r="N51" s="531"/>
      <c r="O51" s="531"/>
      <c r="P51" s="531"/>
      <c r="Q51" s="531"/>
    </row>
    <row r="52" spans="1:19" ht="15" customHeight="1" x14ac:dyDescent="0.25">
      <c r="A52" s="532"/>
      <c r="B52" s="533"/>
      <c r="C52" s="533"/>
      <c r="D52" s="533"/>
      <c r="E52" s="533"/>
      <c r="F52" s="533"/>
      <c r="G52" s="533"/>
      <c r="H52" s="533"/>
      <c r="I52" s="533"/>
      <c r="J52" s="533"/>
      <c r="K52" s="533"/>
      <c r="L52" s="533"/>
      <c r="M52" s="533"/>
      <c r="N52" s="533"/>
      <c r="O52" s="533"/>
      <c r="P52" s="533"/>
      <c r="Q52" s="533"/>
    </row>
    <row r="53" spans="1:19" ht="15" customHeight="1" x14ac:dyDescent="0.25">
      <c r="A53" s="532"/>
      <c r="B53" s="533"/>
      <c r="C53" s="533"/>
      <c r="D53" s="533"/>
      <c r="E53" s="533"/>
      <c r="F53" s="533"/>
      <c r="G53" s="533"/>
      <c r="H53" s="533"/>
      <c r="I53" s="533"/>
      <c r="J53" s="533"/>
      <c r="K53" s="533"/>
      <c r="L53" s="533"/>
      <c r="M53" s="533"/>
      <c r="N53" s="533"/>
      <c r="O53" s="533"/>
      <c r="P53" s="533"/>
      <c r="Q53" s="533"/>
    </row>
    <row r="54" spans="1:19" ht="15" customHeight="1" x14ac:dyDescent="0.25">
      <c r="A54" s="534" t="s">
        <v>54</v>
      </c>
      <c r="B54" s="535"/>
      <c r="C54" s="535"/>
      <c r="D54" s="535"/>
      <c r="E54" s="535"/>
      <c r="F54" s="535"/>
      <c r="G54" s="535"/>
      <c r="H54" s="535"/>
      <c r="I54" s="535"/>
      <c r="J54" s="535"/>
      <c r="K54" s="535"/>
      <c r="L54" s="535"/>
      <c r="M54" s="535"/>
      <c r="N54" s="535"/>
      <c r="O54" s="535"/>
      <c r="P54" s="535"/>
      <c r="Q54" s="535"/>
    </row>
    <row r="55" spans="1:19" ht="85.5" customHeight="1" x14ac:dyDescent="0.25">
      <c r="A55" s="532" t="s">
        <v>55</v>
      </c>
      <c r="B55" s="536"/>
      <c r="C55" s="536"/>
      <c r="D55" s="536"/>
      <c r="E55" s="536"/>
      <c r="F55" s="536"/>
      <c r="G55" s="536"/>
      <c r="H55" s="536"/>
      <c r="I55" s="536"/>
      <c r="J55" s="536"/>
      <c r="K55" s="536"/>
      <c r="L55" s="536"/>
      <c r="M55" s="536"/>
      <c r="N55" s="536"/>
      <c r="O55" s="536"/>
      <c r="P55" s="536"/>
      <c r="Q55" s="536"/>
      <c r="R55" s="536"/>
    </row>
    <row r="56" spans="1:19" ht="69.75" customHeight="1" x14ac:dyDescent="0.25">
      <c r="A56" s="107" t="s">
        <v>56</v>
      </c>
      <c r="B56" s="359"/>
      <c r="C56" s="359"/>
      <c r="D56" s="359"/>
      <c r="E56" s="359"/>
      <c r="K56" s="359"/>
      <c r="Q56" s="359"/>
    </row>
    <row r="57" spans="1:19" ht="15" customHeight="1" x14ac:dyDescent="0.25">
      <c r="A57" s="108"/>
    </row>
    <row r="58" spans="1:19" ht="15" customHeight="1" x14ac:dyDescent="0.25">
      <c r="A58" s="108"/>
    </row>
    <row r="59" spans="1:19" ht="15" customHeight="1" x14ac:dyDescent="0.25">
      <c r="A59" s="108"/>
    </row>
    <row r="60" spans="1:19" ht="15" customHeight="1" x14ac:dyDescent="0.25">
      <c r="A60" s="108"/>
    </row>
    <row r="61" spans="1:19" ht="15" customHeight="1" x14ac:dyDescent="0.25">
      <c r="A61" s="108"/>
    </row>
    <row r="62" spans="1:19" ht="15" customHeight="1" x14ac:dyDescent="0.25">
      <c r="A62" s="109"/>
    </row>
    <row r="63" spans="1:19" ht="15" customHeight="1" x14ac:dyDescent="0.25"/>
    <row r="64" spans="1:19" ht="15" customHeight="1" x14ac:dyDescent="0.25"/>
    <row r="65" spans="1:19" s="75" customFormat="1" x14ac:dyDescent="0.25">
      <c r="A65" s="3"/>
      <c r="B65" s="22"/>
      <c r="C65" s="22"/>
      <c r="D65" s="22"/>
      <c r="E65" s="22"/>
      <c r="F65" s="23"/>
      <c r="G65" s="24"/>
      <c r="H65" s="25"/>
      <c r="I65" s="26"/>
      <c r="J65" s="27"/>
      <c r="K65" s="22"/>
      <c r="L65" s="23"/>
      <c r="M65" s="24"/>
      <c r="N65" s="25"/>
      <c r="O65" s="26"/>
      <c r="P65" s="27"/>
      <c r="Q65" s="22"/>
      <c r="R65" s="411"/>
      <c r="S65" s="74"/>
    </row>
    <row r="66" spans="1:19" ht="14.25" customHeight="1" thickBot="1" x14ac:dyDescent="0.3"/>
    <row r="67" spans="1:19" ht="12.75" customHeight="1" thickBot="1" x14ac:dyDescent="0.3">
      <c r="A67" s="135"/>
      <c r="B67" s="36"/>
      <c r="C67" s="36"/>
      <c r="D67" s="36"/>
      <c r="E67" s="136"/>
      <c r="F67" s="538">
        <f>SUMIFS(F12:F35,$E12:$E35,"=1")+SUMIFS(G12:G35,$E12:$E35,"=1")+SUMIFS(H12:H35,$E12:$E35,"=1")+SUMIFS(I12:I35,$E12:$E35,"=1")</f>
        <v>27</v>
      </c>
      <c r="G67" s="539"/>
      <c r="H67" s="539"/>
      <c r="I67" s="540"/>
      <c r="J67" s="522"/>
      <c r="K67" s="523"/>
      <c r="L67" s="538">
        <f>SUMIFS(L12:L35,$E12:$E35,"=1")+SUMIFS(M12:M35,$E12:$E35,"=1")+SUMIFS(N12:N35,$E12:$E35,"=1")+SUMIFS(O12:O35,$E12:$E35,"=1")</f>
        <v>27</v>
      </c>
      <c r="M67" s="539"/>
      <c r="N67" s="539"/>
      <c r="O67" s="540"/>
      <c r="P67" s="522"/>
      <c r="Q67" s="523"/>
      <c r="R67" s="412">
        <f>SUMIF($E12:$E48,"=1",R12:R48)</f>
        <v>794</v>
      </c>
    </row>
    <row r="68" spans="1:19" x14ac:dyDescent="0.25">
      <c r="F68" s="137"/>
      <c r="G68" s="138"/>
      <c r="H68" s="139"/>
      <c r="I68" s="140"/>
      <c r="J68" s="141"/>
      <c r="K68" s="142"/>
      <c r="L68" s="137"/>
      <c r="M68" s="138"/>
      <c r="N68" s="139"/>
      <c r="O68" s="140"/>
    </row>
    <row r="69" spans="1:19" x14ac:dyDescent="0.25">
      <c r="F69" s="537"/>
      <c r="G69" s="537"/>
      <c r="H69" s="537"/>
      <c r="I69" s="537"/>
      <c r="J69" s="141"/>
      <c r="K69" s="142"/>
      <c r="L69" s="537"/>
      <c r="M69" s="537"/>
      <c r="N69" s="537"/>
      <c r="O69" s="537"/>
    </row>
    <row r="70" spans="1:19" x14ac:dyDescent="0.25">
      <c r="F70" s="137"/>
      <c r="G70" s="138"/>
      <c r="H70" s="139"/>
      <c r="I70" s="140"/>
      <c r="J70" s="537"/>
      <c r="K70" s="537"/>
      <c r="L70" s="137"/>
      <c r="M70" s="138"/>
      <c r="N70" s="139"/>
      <c r="O70" s="140"/>
    </row>
    <row r="71" spans="1:19" x14ac:dyDescent="0.25">
      <c r="F71" s="137"/>
      <c r="G71" s="138"/>
      <c r="H71" s="139"/>
      <c r="I71" s="140"/>
      <c r="J71" s="141"/>
      <c r="K71" s="142"/>
      <c r="L71" s="137"/>
      <c r="M71" s="138"/>
      <c r="N71" s="139"/>
      <c r="O71" s="140"/>
    </row>
  </sheetData>
  <mergeCells count="16">
    <mergeCell ref="J70:K70"/>
    <mergeCell ref="F69:I69"/>
    <mergeCell ref="L69:O69"/>
    <mergeCell ref="F67:I67"/>
    <mergeCell ref="L67:O67"/>
    <mergeCell ref="J67:K67"/>
    <mergeCell ref="P67:Q67"/>
    <mergeCell ref="L1:P1"/>
    <mergeCell ref="L2:P2"/>
    <mergeCell ref="G7:K7"/>
    <mergeCell ref="E9:M9"/>
    <mergeCell ref="A51:Q51"/>
    <mergeCell ref="A52:Q52"/>
    <mergeCell ref="A53:Q53"/>
    <mergeCell ref="A54:Q54"/>
    <mergeCell ref="A55:R55"/>
  </mergeCells>
  <phoneticPr fontId="0" type="noConversion"/>
  <conditionalFormatting sqref="J50">
    <cfRule type="cellIs" dxfId="10" priority="2" operator="greaterThan">
      <formula>30</formula>
    </cfRule>
    <cfRule type="cellIs" dxfId="9" priority="4" operator="greaterThan">
      <formula>30</formula>
    </cfRule>
    <cfRule type="cellIs" dxfId="8" priority="5" operator="greaterThan">
      <formula>30</formula>
    </cfRule>
  </conditionalFormatting>
  <conditionalFormatting sqref="P50">
    <cfRule type="cellIs" dxfId="7" priority="1" operator="greaterThan">
      <formula>30</formula>
    </cfRule>
    <cfRule type="cellIs" dxfId="6" priority="3" operator="greaterThan">
      <formula>30</formula>
    </cfRule>
  </conditionalFormatting>
  <pageMargins left="0.35433070866141736" right="0.15748031496062992" top="0.43307086614173229" bottom="0.59055118110236227" header="0.23622047244094491" footer="0.15748031496062992"/>
  <pageSetup paperSize="9" scale="73" orientation="portrait" r:id="rId1"/>
  <headerFooter>
    <oddFooter xml:space="preserve">&amp;LRECTOR,
Prof. univ. dr. Cezar Ionuț SPÎNU&amp;CDECAN,
Prof. univ. dr. ing. Dan SELIȘTEANU&amp;RDIRECTOR DEPARTAMENT,
Prof. univ. dr. ing. Dorian COJOCARU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7"/>
  <sheetViews>
    <sheetView view="pageBreakPreview" topLeftCell="A11" zoomScaleNormal="100" zoomScaleSheetLayoutView="100" workbookViewId="0">
      <selection activeCell="C21" sqref="C21"/>
    </sheetView>
  </sheetViews>
  <sheetFormatPr defaultColWidth="9.140625" defaultRowHeight="15" x14ac:dyDescent="0.25"/>
  <cols>
    <col min="1" max="1" width="48.140625" style="227" customWidth="1"/>
    <col min="2" max="2" width="12.7109375" style="224" customWidth="1"/>
    <col min="3" max="3" width="3.42578125" style="224" customWidth="1"/>
    <col min="4" max="4" width="6" style="224" customWidth="1"/>
    <col min="5" max="5" width="4.85546875" style="224" customWidth="1"/>
    <col min="6" max="6" width="6.5703125" style="23" bestFit="1" customWidth="1"/>
    <col min="7" max="7" width="4.140625" style="24" customWidth="1"/>
    <col min="8" max="8" width="3.85546875" style="25" customWidth="1"/>
    <col min="9" max="9" width="4" style="26" customWidth="1"/>
    <col min="10" max="10" width="6" style="27" bestFit="1" customWidth="1"/>
    <col min="11" max="11" width="4.7109375" style="224" customWidth="1"/>
    <col min="12" max="12" width="7" style="23" customWidth="1"/>
    <col min="13" max="13" width="4.140625" style="24" customWidth="1"/>
    <col min="14" max="14" width="4" style="25" customWidth="1"/>
    <col min="15" max="15" width="5.5703125" style="26" customWidth="1"/>
    <col min="16" max="16" width="7" style="27" bestFit="1" customWidth="1"/>
    <col min="17" max="17" width="4.42578125" style="224" customWidth="1"/>
    <col min="18" max="18" width="6.140625" style="403" customWidth="1"/>
    <col min="19" max="19" width="9.140625" style="29"/>
    <col min="20" max="16384" width="9.140625" style="30"/>
  </cols>
  <sheetData>
    <row r="1" spans="1:18" x14ac:dyDescent="0.25">
      <c r="A1" s="2" t="s">
        <v>0</v>
      </c>
      <c r="L1" s="524" t="s">
        <v>39</v>
      </c>
      <c r="M1" s="525"/>
      <c r="N1" s="525"/>
      <c r="O1" s="525"/>
      <c r="P1" s="525"/>
      <c r="Q1" s="36"/>
    </row>
    <row r="2" spans="1:18" ht="14.45" customHeight="1" x14ac:dyDescent="0.25">
      <c r="A2" s="2" t="s">
        <v>124</v>
      </c>
      <c r="L2" s="524" t="s">
        <v>291</v>
      </c>
      <c r="M2" s="525"/>
      <c r="N2" s="525"/>
      <c r="O2" s="525"/>
      <c r="P2" s="525"/>
      <c r="Q2" s="36"/>
    </row>
    <row r="3" spans="1:18" ht="14.45" customHeight="1" x14ac:dyDescent="0.25">
      <c r="A3" s="2" t="s">
        <v>125</v>
      </c>
      <c r="Q3" s="36"/>
    </row>
    <row r="4" spans="1:18" ht="12" customHeight="1" x14ac:dyDescent="0.25">
      <c r="A4" s="2" t="s">
        <v>126</v>
      </c>
      <c r="Q4" s="36"/>
    </row>
    <row r="5" spans="1:18" ht="15.75" thickBot="1" x14ac:dyDescent="0.3">
      <c r="A5" s="2" t="s">
        <v>127</v>
      </c>
      <c r="Q5" s="36"/>
    </row>
    <row r="6" spans="1:18" ht="15.75" thickBot="1" x14ac:dyDescent="0.3">
      <c r="A6" s="425" t="s">
        <v>119</v>
      </c>
      <c r="F6" s="31" t="s">
        <v>32</v>
      </c>
      <c r="G6" s="32"/>
      <c r="H6" s="33"/>
      <c r="I6" s="34"/>
      <c r="J6" s="35"/>
      <c r="K6" s="36"/>
      <c r="L6" s="31" t="s">
        <v>33</v>
      </c>
      <c r="Q6" s="36"/>
    </row>
    <row r="7" spans="1:18" ht="15.75" thickBot="1" x14ac:dyDescent="0.3">
      <c r="A7" s="425" t="s">
        <v>120</v>
      </c>
      <c r="F7" s="37"/>
      <c r="G7" s="526" t="s">
        <v>34</v>
      </c>
      <c r="H7" s="527"/>
      <c r="I7" s="527"/>
      <c r="J7" s="527"/>
      <c r="K7" s="528"/>
      <c r="L7" s="38"/>
      <c r="Q7" s="36"/>
    </row>
    <row r="8" spans="1:18" x14ac:dyDescent="0.25">
      <c r="Q8" s="36"/>
    </row>
    <row r="9" spans="1:18" ht="15.75" thickBot="1" x14ac:dyDescent="0.3">
      <c r="E9" s="529" t="s">
        <v>293</v>
      </c>
      <c r="F9" s="529"/>
      <c r="G9" s="529"/>
      <c r="H9" s="529"/>
      <c r="I9" s="529"/>
      <c r="J9" s="529"/>
      <c r="K9" s="529"/>
      <c r="L9" s="529"/>
      <c r="M9" s="529"/>
      <c r="Q9" s="145"/>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13" t="s">
        <v>43</v>
      </c>
    </row>
    <row r="11" spans="1:18" ht="15.75" thickBot="1" x14ac:dyDescent="0.3">
      <c r="A11" s="49" t="s">
        <v>41</v>
      </c>
      <c r="B11" s="4"/>
      <c r="C11" s="50"/>
      <c r="D11" s="50"/>
      <c r="E11" s="51"/>
      <c r="F11" s="52"/>
      <c r="G11" s="53"/>
      <c r="H11" s="54"/>
      <c r="I11" s="55"/>
      <c r="J11" s="56"/>
      <c r="K11" s="51"/>
      <c r="L11" s="52"/>
      <c r="M11" s="53"/>
      <c r="N11" s="54"/>
      <c r="O11" s="55"/>
      <c r="P11" s="56"/>
      <c r="Q11" s="51"/>
      <c r="R11" s="405"/>
    </row>
    <row r="12" spans="1:18" ht="15.75" thickBot="1" x14ac:dyDescent="0.3">
      <c r="A12" s="443" t="s">
        <v>165</v>
      </c>
      <c r="B12" s="448" t="s">
        <v>166</v>
      </c>
      <c r="C12" s="449" t="s">
        <v>111</v>
      </c>
      <c r="D12" s="312" t="s">
        <v>108</v>
      </c>
      <c r="E12" s="283">
        <v>1</v>
      </c>
      <c r="F12" s="284">
        <v>3</v>
      </c>
      <c r="G12" s="285">
        <v>1</v>
      </c>
      <c r="H12" s="313">
        <v>1</v>
      </c>
      <c r="I12" s="314"/>
      <c r="J12" s="286">
        <v>5</v>
      </c>
      <c r="K12" s="283" t="s">
        <v>109</v>
      </c>
      <c r="L12" s="315"/>
      <c r="M12" s="316"/>
      <c r="N12" s="316"/>
      <c r="O12" s="314"/>
      <c r="P12" s="317"/>
      <c r="Q12" s="318"/>
      <c r="R12" s="478">
        <f>25*J12-14*SUM(F12,G12,H12,I12)</f>
        <v>55</v>
      </c>
    </row>
    <row r="13" spans="1:18" ht="15.75" thickBot="1" x14ac:dyDescent="0.3">
      <c r="A13" s="444" t="s">
        <v>167</v>
      </c>
      <c r="B13" s="247" t="s">
        <v>168</v>
      </c>
      <c r="C13" s="450" t="s">
        <v>115</v>
      </c>
      <c r="D13" s="299" t="s">
        <v>108</v>
      </c>
      <c r="E13" s="288">
        <v>1</v>
      </c>
      <c r="F13" s="289">
        <v>3</v>
      </c>
      <c r="G13" s="290">
        <v>1</v>
      </c>
      <c r="H13" s="305">
        <v>1</v>
      </c>
      <c r="I13" s="300"/>
      <c r="J13" s="292">
        <v>5</v>
      </c>
      <c r="K13" s="288" t="s">
        <v>109</v>
      </c>
      <c r="L13" s="250"/>
      <c r="M13" s="251"/>
      <c r="N13" s="252"/>
      <c r="O13" s="253"/>
      <c r="P13" s="254"/>
      <c r="Q13" s="249"/>
      <c r="R13" s="478">
        <f t="shared" ref="R13:R19" si="0">25*J13-14*SUM(F13,G13,H13,I13)</f>
        <v>55</v>
      </c>
    </row>
    <row r="14" spans="1:18" ht="30.75" thickBot="1" x14ac:dyDescent="0.3">
      <c r="A14" s="426" t="s">
        <v>299</v>
      </c>
      <c r="B14" s="490" t="s">
        <v>169</v>
      </c>
      <c r="C14" s="451" t="s">
        <v>111</v>
      </c>
      <c r="D14" s="491" t="s">
        <v>108</v>
      </c>
      <c r="E14" s="492">
        <v>1</v>
      </c>
      <c r="F14" s="476">
        <v>3</v>
      </c>
      <c r="G14" s="493">
        <v>1</v>
      </c>
      <c r="H14" s="494">
        <v>1</v>
      </c>
      <c r="I14" s="471"/>
      <c r="J14" s="495">
        <v>5</v>
      </c>
      <c r="K14" s="492" t="s">
        <v>109</v>
      </c>
      <c r="L14" s="470"/>
      <c r="M14" s="458"/>
      <c r="N14" s="459"/>
      <c r="O14" s="471"/>
      <c r="P14" s="472"/>
      <c r="Q14" s="469"/>
      <c r="R14" s="496">
        <f t="shared" si="0"/>
        <v>55</v>
      </c>
    </row>
    <row r="15" spans="1:18" ht="15.75" thickBot="1" x14ac:dyDescent="0.3">
      <c r="A15" s="444" t="s">
        <v>170</v>
      </c>
      <c r="B15" s="247" t="s">
        <v>171</v>
      </c>
      <c r="C15" s="450" t="s">
        <v>115</v>
      </c>
      <c r="D15" s="299" t="s">
        <v>108</v>
      </c>
      <c r="E15" s="288">
        <v>1</v>
      </c>
      <c r="F15" s="289">
        <v>2</v>
      </c>
      <c r="G15" s="290"/>
      <c r="H15" s="305">
        <v>1</v>
      </c>
      <c r="I15" s="253"/>
      <c r="J15" s="292">
        <v>4</v>
      </c>
      <c r="K15" s="288" t="s">
        <v>109</v>
      </c>
      <c r="L15" s="250"/>
      <c r="M15" s="251"/>
      <c r="N15" s="252"/>
      <c r="O15" s="253"/>
      <c r="P15" s="254"/>
      <c r="Q15" s="249"/>
      <c r="R15" s="478">
        <f t="shared" si="0"/>
        <v>58</v>
      </c>
    </row>
    <row r="16" spans="1:18" ht="15.75" thickBot="1" x14ac:dyDescent="0.3">
      <c r="A16" s="444" t="s">
        <v>172</v>
      </c>
      <c r="B16" s="247" t="s">
        <v>173</v>
      </c>
      <c r="C16" s="450" t="s">
        <v>115</v>
      </c>
      <c r="D16" s="299" t="s">
        <v>108</v>
      </c>
      <c r="E16" s="288">
        <v>1</v>
      </c>
      <c r="F16" s="289"/>
      <c r="G16" s="290"/>
      <c r="H16" s="305"/>
      <c r="I16" s="452">
        <v>1</v>
      </c>
      <c r="J16" s="292">
        <v>1</v>
      </c>
      <c r="K16" s="249" t="s">
        <v>174</v>
      </c>
      <c r="L16" s="301"/>
      <c r="M16" s="302"/>
      <c r="N16" s="302"/>
      <c r="O16" s="300"/>
      <c r="P16" s="303"/>
      <c r="Q16" s="304"/>
      <c r="R16" s="478">
        <f t="shared" si="0"/>
        <v>11</v>
      </c>
    </row>
    <row r="17" spans="1:18" ht="15.75" thickBot="1" x14ac:dyDescent="0.3">
      <c r="A17" s="444" t="s">
        <v>175</v>
      </c>
      <c r="B17" s="247" t="s">
        <v>176</v>
      </c>
      <c r="C17" s="451" t="s">
        <v>107</v>
      </c>
      <c r="D17" s="299" t="s">
        <v>108</v>
      </c>
      <c r="E17" s="288">
        <v>1</v>
      </c>
      <c r="F17" s="289">
        <v>2</v>
      </c>
      <c r="G17" s="290"/>
      <c r="H17" s="305">
        <v>2</v>
      </c>
      <c r="I17" s="253"/>
      <c r="J17" s="292">
        <v>6</v>
      </c>
      <c r="K17" s="249" t="s">
        <v>109</v>
      </c>
      <c r="L17" s="250"/>
      <c r="M17" s="251"/>
      <c r="N17" s="252"/>
      <c r="O17" s="253"/>
      <c r="P17" s="254"/>
      <c r="Q17" s="249"/>
      <c r="R17" s="478">
        <f t="shared" si="0"/>
        <v>94</v>
      </c>
    </row>
    <row r="18" spans="1:18" ht="15.75" thickBot="1" x14ac:dyDescent="0.3">
      <c r="A18" s="444" t="s">
        <v>177</v>
      </c>
      <c r="B18" s="247" t="s">
        <v>178</v>
      </c>
      <c r="C18" s="451" t="s">
        <v>112</v>
      </c>
      <c r="D18" s="299" t="s">
        <v>108</v>
      </c>
      <c r="E18" s="288">
        <v>1</v>
      </c>
      <c r="F18" s="289">
        <v>1</v>
      </c>
      <c r="G18" s="290">
        <v>1</v>
      </c>
      <c r="H18" s="305"/>
      <c r="I18" s="253"/>
      <c r="J18" s="292">
        <v>2</v>
      </c>
      <c r="K18" s="288" t="s">
        <v>110</v>
      </c>
      <c r="L18" s="250"/>
      <c r="M18" s="251"/>
      <c r="N18" s="252"/>
      <c r="O18" s="253"/>
      <c r="P18" s="254"/>
      <c r="Q18" s="249"/>
      <c r="R18" s="478">
        <f t="shared" si="0"/>
        <v>22</v>
      </c>
    </row>
    <row r="19" spans="1:18" ht="15.75" thickBot="1" x14ac:dyDescent="0.3">
      <c r="A19" s="444" t="s">
        <v>179</v>
      </c>
      <c r="B19" s="247" t="s">
        <v>180</v>
      </c>
      <c r="C19" s="450" t="s">
        <v>112</v>
      </c>
      <c r="D19" s="299" t="s">
        <v>108</v>
      </c>
      <c r="E19" s="288">
        <v>1</v>
      </c>
      <c r="F19" s="289">
        <v>1</v>
      </c>
      <c r="G19" s="290">
        <v>1</v>
      </c>
      <c r="H19" s="305"/>
      <c r="I19" s="300"/>
      <c r="J19" s="292">
        <v>2</v>
      </c>
      <c r="K19" s="288" t="s">
        <v>110</v>
      </c>
      <c r="L19" s="289"/>
      <c r="M19" s="290"/>
      <c r="N19" s="305"/>
      <c r="O19" s="300"/>
      <c r="P19" s="292"/>
      <c r="Q19" s="288"/>
      <c r="R19" s="478">
        <f t="shared" si="0"/>
        <v>22</v>
      </c>
    </row>
    <row r="20" spans="1:18" ht="15.75" thickBot="1" x14ac:dyDescent="0.3">
      <c r="A20" s="444" t="s">
        <v>181</v>
      </c>
      <c r="B20" s="247" t="s">
        <v>182</v>
      </c>
      <c r="C20" s="450" t="s">
        <v>111</v>
      </c>
      <c r="D20" s="248" t="s">
        <v>108</v>
      </c>
      <c r="E20" s="249">
        <v>1</v>
      </c>
      <c r="F20" s="289"/>
      <c r="G20" s="290"/>
      <c r="H20" s="305"/>
      <c r="I20" s="253"/>
      <c r="J20" s="254"/>
      <c r="K20" s="249"/>
      <c r="L20" s="250">
        <v>2</v>
      </c>
      <c r="M20" s="251"/>
      <c r="N20" s="252">
        <v>2</v>
      </c>
      <c r="O20" s="253"/>
      <c r="P20" s="254">
        <v>3</v>
      </c>
      <c r="Q20" s="249" t="s">
        <v>109</v>
      </c>
      <c r="R20" s="478">
        <f>25*P20-14*SUM(L20,M20,N20,O20)</f>
        <v>19</v>
      </c>
    </row>
    <row r="21" spans="1:18" ht="15.75" thickBot="1" x14ac:dyDescent="0.3">
      <c r="A21" s="426" t="s">
        <v>183</v>
      </c>
      <c r="B21" s="490" t="s">
        <v>184</v>
      </c>
      <c r="C21" s="450" t="s">
        <v>107</v>
      </c>
      <c r="D21" s="468" t="s">
        <v>108</v>
      </c>
      <c r="E21" s="469">
        <v>1</v>
      </c>
      <c r="F21" s="476"/>
      <c r="G21" s="493"/>
      <c r="H21" s="494"/>
      <c r="I21" s="471"/>
      <c r="J21" s="472"/>
      <c r="K21" s="469"/>
      <c r="L21" s="476">
        <v>2</v>
      </c>
      <c r="M21" s="493"/>
      <c r="N21" s="494">
        <v>2</v>
      </c>
      <c r="O21" s="471"/>
      <c r="P21" s="495">
        <v>3</v>
      </c>
      <c r="Q21" s="492" t="s">
        <v>109</v>
      </c>
      <c r="R21" s="496">
        <f t="shared" ref="R21:R27" si="1">25*P21-14*SUM(L21,M21,N21,O21)</f>
        <v>19</v>
      </c>
    </row>
    <row r="22" spans="1:18" ht="15.75" thickBot="1" x14ac:dyDescent="0.3">
      <c r="A22" s="444" t="s">
        <v>185</v>
      </c>
      <c r="B22" s="247" t="s">
        <v>186</v>
      </c>
      <c r="C22" s="428" t="s">
        <v>111</v>
      </c>
      <c r="D22" s="248" t="s">
        <v>108</v>
      </c>
      <c r="E22" s="249">
        <v>1</v>
      </c>
      <c r="F22" s="289"/>
      <c r="G22" s="290"/>
      <c r="H22" s="305"/>
      <c r="I22" s="253"/>
      <c r="J22" s="254"/>
      <c r="K22" s="249"/>
      <c r="L22" s="289">
        <v>3</v>
      </c>
      <c r="M22" s="290">
        <v>1</v>
      </c>
      <c r="N22" s="305">
        <v>1</v>
      </c>
      <c r="O22" s="253"/>
      <c r="P22" s="292">
        <v>5</v>
      </c>
      <c r="Q22" s="288" t="s">
        <v>109</v>
      </c>
      <c r="R22" s="478">
        <f t="shared" si="1"/>
        <v>55</v>
      </c>
    </row>
    <row r="23" spans="1:18" ht="15.75" thickBot="1" x14ac:dyDescent="0.3">
      <c r="A23" s="453" t="s">
        <v>187</v>
      </c>
      <c r="B23" s="247" t="s">
        <v>188</v>
      </c>
      <c r="C23" s="454" t="s">
        <v>111</v>
      </c>
      <c r="D23" s="319" t="s">
        <v>108</v>
      </c>
      <c r="E23" s="320">
        <v>1</v>
      </c>
      <c r="F23" s="289"/>
      <c r="G23" s="290"/>
      <c r="H23" s="305"/>
      <c r="I23" s="253"/>
      <c r="J23" s="254"/>
      <c r="K23" s="249"/>
      <c r="L23" s="321">
        <v>3</v>
      </c>
      <c r="M23" s="322"/>
      <c r="N23" s="323">
        <v>1</v>
      </c>
      <c r="O23" s="324"/>
      <c r="P23" s="325">
        <v>5</v>
      </c>
      <c r="Q23" s="298" t="s">
        <v>109</v>
      </c>
      <c r="R23" s="478">
        <f t="shared" si="1"/>
        <v>69</v>
      </c>
    </row>
    <row r="24" spans="1:18" ht="15.75" thickBot="1" x14ac:dyDescent="0.3">
      <c r="A24" s="444" t="s">
        <v>189</v>
      </c>
      <c r="B24" s="247" t="s">
        <v>190</v>
      </c>
      <c r="C24" s="428" t="s">
        <v>111</v>
      </c>
      <c r="D24" s="299" t="s">
        <v>108</v>
      </c>
      <c r="E24" s="288">
        <v>1</v>
      </c>
      <c r="F24" s="289"/>
      <c r="G24" s="290"/>
      <c r="H24" s="305"/>
      <c r="I24" s="253"/>
      <c r="J24" s="292"/>
      <c r="K24" s="288"/>
      <c r="L24" s="289">
        <v>3</v>
      </c>
      <c r="M24" s="290">
        <v>1</v>
      </c>
      <c r="N24" s="305">
        <v>1</v>
      </c>
      <c r="O24" s="253"/>
      <c r="P24" s="254">
        <v>5</v>
      </c>
      <c r="Q24" s="249" t="s">
        <v>109</v>
      </c>
      <c r="R24" s="478">
        <f t="shared" si="1"/>
        <v>55</v>
      </c>
    </row>
    <row r="25" spans="1:18" ht="15.75" thickBot="1" x14ac:dyDescent="0.3">
      <c r="A25" s="444" t="s">
        <v>191</v>
      </c>
      <c r="B25" s="247" t="s">
        <v>192</v>
      </c>
      <c r="C25" s="455" t="s">
        <v>112</v>
      </c>
      <c r="D25" s="326" t="s">
        <v>108</v>
      </c>
      <c r="E25" s="306">
        <v>1</v>
      </c>
      <c r="F25" s="307"/>
      <c r="G25" s="308"/>
      <c r="H25" s="311"/>
      <c r="I25" s="261"/>
      <c r="J25" s="310"/>
      <c r="K25" s="306"/>
      <c r="L25" s="307">
        <v>1</v>
      </c>
      <c r="M25" s="308">
        <v>1</v>
      </c>
      <c r="N25" s="311"/>
      <c r="O25" s="261"/>
      <c r="P25" s="254">
        <v>2</v>
      </c>
      <c r="Q25" s="249" t="s">
        <v>110</v>
      </c>
      <c r="R25" s="478">
        <f t="shared" si="1"/>
        <v>22</v>
      </c>
    </row>
    <row r="26" spans="1:18" ht="15.75" thickBot="1" x14ac:dyDescent="0.3">
      <c r="A26" s="444" t="s">
        <v>193</v>
      </c>
      <c r="B26" s="247" t="s">
        <v>194</v>
      </c>
      <c r="C26" s="428" t="s">
        <v>112</v>
      </c>
      <c r="D26" s="299" t="s">
        <v>108</v>
      </c>
      <c r="E26" s="288">
        <v>1</v>
      </c>
      <c r="F26" s="289"/>
      <c r="G26" s="290"/>
      <c r="H26" s="305"/>
      <c r="I26" s="253"/>
      <c r="J26" s="292"/>
      <c r="K26" s="288"/>
      <c r="L26" s="289">
        <v>1</v>
      </c>
      <c r="M26" s="290">
        <v>1</v>
      </c>
      <c r="N26" s="305"/>
      <c r="O26" s="253"/>
      <c r="P26" s="254">
        <v>2</v>
      </c>
      <c r="Q26" s="249" t="s">
        <v>110</v>
      </c>
      <c r="R26" s="478">
        <f t="shared" si="1"/>
        <v>22</v>
      </c>
    </row>
    <row r="27" spans="1:18" ht="15.75" thickBot="1" x14ac:dyDescent="0.3">
      <c r="A27" s="480" t="s">
        <v>300</v>
      </c>
      <c r="B27" s="490" t="s">
        <v>195</v>
      </c>
      <c r="C27" s="450" t="s">
        <v>111</v>
      </c>
      <c r="D27" s="468" t="s">
        <v>108</v>
      </c>
      <c r="E27" s="469">
        <v>2</v>
      </c>
      <c r="F27" s="470"/>
      <c r="G27" s="458"/>
      <c r="H27" s="459"/>
      <c r="I27" s="471"/>
      <c r="J27" s="472"/>
      <c r="K27" s="469"/>
      <c r="L27" s="470"/>
      <c r="M27" s="458"/>
      <c r="N27" s="459"/>
      <c r="O27" s="471">
        <v>6.43</v>
      </c>
      <c r="P27" s="472">
        <v>5</v>
      </c>
      <c r="Q27" s="469" t="s">
        <v>110</v>
      </c>
      <c r="R27" s="496">
        <f t="shared" si="1"/>
        <v>34.980000000000004</v>
      </c>
    </row>
    <row r="28" spans="1:18" ht="15.75" thickBot="1" x14ac:dyDescent="0.3">
      <c r="A28" s="444" t="s">
        <v>196</v>
      </c>
      <c r="B28" s="247" t="s">
        <v>197</v>
      </c>
      <c r="C28" s="429" t="s">
        <v>112</v>
      </c>
      <c r="D28" s="256" t="s">
        <v>108</v>
      </c>
      <c r="E28" s="257">
        <v>1</v>
      </c>
      <c r="F28" s="258"/>
      <c r="G28" s="259">
        <v>1</v>
      </c>
      <c r="H28" s="260"/>
      <c r="I28" s="261"/>
      <c r="J28" s="262" t="s">
        <v>121</v>
      </c>
      <c r="K28" s="257" t="s">
        <v>113</v>
      </c>
      <c r="L28" s="258"/>
      <c r="M28" s="259"/>
      <c r="N28" s="260"/>
      <c r="O28" s="261"/>
      <c r="P28" s="262"/>
      <c r="Q28" s="257"/>
      <c r="R28" s="478">
        <v>11</v>
      </c>
    </row>
    <row r="29" spans="1:18" x14ac:dyDescent="0.25">
      <c r="A29" s="444" t="s">
        <v>198</v>
      </c>
      <c r="B29" s="247" t="s">
        <v>199</v>
      </c>
      <c r="C29" s="429" t="s">
        <v>112</v>
      </c>
      <c r="D29" s="256" t="s">
        <v>108</v>
      </c>
      <c r="E29" s="257">
        <v>1</v>
      </c>
      <c r="F29" s="258"/>
      <c r="G29" s="259"/>
      <c r="H29" s="260"/>
      <c r="I29" s="261"/>
      <c r="J29" s="262"/>
      <c r="K29" s="257"/>
      <c r="L29" s="258"/>
      <c r="M29" s="259">
        <v>1</v>
      </c>
      <c r="N29" s="260"/>
      <c r="O29" s="261"/>
      <c r="P29" s="262" t="s">
        <v>121</v>
      </c>
      <c r="Q29" s="257" t="s">
        <v>113</v>
      </c>
      <c r="R29" s="478">
        <v>11</v>
      </c>
    </row>
    <row r="30" spans="1:18" x14ac:dyDescent="0.25">
      <c r="A30" s="263"/>
      <c r="B30" s="247"/>
      <c r="C30" s="256"/>
      <c r="D30" s="256"/>
      <c r="E30" s="257"/>
      <c r="F30" s="258"/>
      <c r="G30" s="259"/>
      <c r="H30" s="260"/>
      <c r="I30" s="261"/>
      <c r="J30" s="262"/>
      <c r="K30" s="257"/>
      <c r="L30" s="258"/>
      <c r="M30" s="259"/>
      <c r="N30" s="260"/>
      <c r="O30" s="261"/>
      <c r="P30" s="262"/>
      <c r="Q30" s="257"/>
      <c r="R30" s="331"/>
    </row>
    <row r="31" spans="1:18" x14ac:dyDescent="0.25">
      <c r="A31" s="263"/>
      <c r="B31" s="247"/>
      <c r="C31" s="256"/>
      <c r="D31" s="256"/>
      <c r="E31" s="257"/>
      <c r="F31" s="258"/>
      <c r="G31" s="259"/>
      <c r="H31" s="260"/>
      <c r="I31" s="261"/>
      <c r="J31" s="262"/>
      <c r="K31" s="257"/>
      <c r="L31" s="258"/>
      <c r="M31" s="259"/>
      <c r="N31" s="260"/>
      <c r="O31" s="261"/>
      <c r="P31" s="265"/>
      <c r="Q31" s="257"/>
      <c r="R31" s="331"/>
    </row>
    <row r="32" spans="1:18" x14ac:dyDescent="0.25">
      <c r="A32" s="5"/>
      <c r="B32" s="143"/>
      <c r="C32" s="7"/>
      <c r="D32" s="7"/>
      <c r="E32" s="8"/>
      <c r="F32" s="9"/>
      <c r="G32" s="10"/>
      <c r="H32" s="11"/>
      <c r="I32" s="12"/>
      <c r="J32" s="13"/>
      <c r="K32" s="8"/>
      <c r="L32" s="9"/>
      <c r="M32" s="10"/>
      <c r="N32" s="11"/>
      <c r="O32" s="12"/>
      <c r="P32" s="13"/>
      <c r="Q32" s="8"/>
      <c r="R32" s="331"/>
    </row>
    <row r="33" spans="1:18" x14ac:dyDescent="0.25">
      <c r="A33" s="5"/>
      <c r="B33" s="6"/>
      <c r="C33" s="7"/>
      <c r="D33" s="7"/>
      <c r="E33" s="8"/>
      <c r="F33" s="9"/>
      <c r="G33" s="10"/>
      <c r="H33" s="11"/>
      <c r="I33" s="12"/>
      <c r="J33" s="13"/>
      <c r="K33" s="8"/>
      <c r="L33" s="9"/>
      <c r="M33" s="10"/>
      <c r="N33" s="11"/>
      <c r="O33" s="12"/>
      <c r="P33" s="13"/>
      <c r="Q33" s="8"/>
      <c r="R33" s="414"/>
    </row>
    <row r="34" spans="1:18" x14ac:dyDescent="0.25">
      <c r="A34" s="5"/>
      <c r="B34" s="6"/>
      <c r="C34" s="7"/>
      <c r="D34" s="7"/>
      <c r="E34" s="8"/>
      <c r="F34" s="9"/>
      <c r="G34" s="10"/>
      <c r="H34" s="11"/>
      <c r="I34" s="12"/>
      <c r="J34" s="13"/>
      <c r="K34" s="8"/>
      <c r="L34" s="9"/>
      <c r="M34" s="10"/>
      <c r="N34" s="11"/>
      <c r="O34" s="12"/>
      <c r="P34" s="13"/>
      <c r="Q34" s="8"/>
      <c r="R34" s="414"/>
    </row>
    <row r="35" spans="1:18" ht="15.75" thickBot="1" x14ac:dyDescent="0.3">
      <c r="A35" s="5"/>
      <c r="B35" s="6"/>
      <c r="C35" s="7"/>
      <c r="D35" s="7"/>
      <c r="E35" s="8"/>
      <c r="F35" s="9"/>
      <c r="G35" s="10"/>
      <c r="H35" s="11"/>
      <c r="I35" s="12"/>
      <c r="J35" s="13"/>
      <c r="K35" s="8"/>
      <c r="L35" s="9"/>
      <c r="M35" s="10"/>
      <c r="N35" s="11"/>
      <c r="O35" s="12"/>
      <c r="P35" s="13"/>
      <c r="Q35" s="8"/>
      <c r="R35" s="414"/>
    </row>
    <row r="36" spans="1:18" ht="15.75" thickBot="1" x14ac:dyDescent="0.3">
      <c r="A36" s="58" t="s">
        <v>23</v>
      </c>
      <c r="B36" s="225"/>
      <c r="C36" s="225"/>
      <c r="D36" s="225"/>
      <c r="E36" s="226"/>
      <c r="F36" s="61">
        <f>SUMIFS(F12:F35,$E12:$E35,"=1")</f>
        <v>15</v>
      </c>
      <c r="G36" s="62">
        <f>SUMIFS(G12:G35,$E12:$E35,"=1")</f>
        <v>6</v>
      </c>
      <c r="H36" s="63">
        <f>SUMIFS(H12:H35,$E12:$E35,"=1")</f>
        <v>6</v>
      </c>
      <c r="I36" s="64">
        <f>SUMIFS(I12:I35,$E12:$E35,"=1")</f>
        <v>1</v>
      </c>
      <c r="J36" s="65">
        <f>SUMIFS(J12:J35,$E12:$E35,"=1")+SUMIFS(J12:J35,$D12:$D35,"=DI",$E12:$E35,"=2")</f>
        <v>30</v>
      </c>
      <c r="K36" s="226"/>
      <c r="L36" s="61">
        <f>SUMIFS(L12:L35,$E12:$E35,"=1")</f>
        <v>15</v>
      </c>
      <c r="M36" s="62">
        <f>SUMIFS(M12:M35,$E12:$E35,"=1")</f>
        <v>5</v>
      </c>
      <c r="N36" s="63">
        <f>SUMIFS(N12:N35,$E12:$E35,"=1")</f>
        <v>7</v>
      </c>
      <c r="O36" s="64">
        <f>SUMIFS(O12:O35,$E12:$E35,"=1")</f>
        <v>0</v>
      </c>
      <c r="P36" s="65">
        <f>SUMIFS(P12:P35,$E12:$E35,"=1")+SUMIFS(P12:P35,$D12:$D35,"=DI",$E12:$E35,"=2")</f>
        <v>30</v>
      </c>
      <c r="Q36" s="226"/>
      <c r="R36" s="407"/>
    </row>
    <row r="37" spans="1:18" ht="15.75" thickBot="1" x14ac:dyDescent="0.3">
      <c r="A37" s="66"/>
      <c r="B37" s="144"/>
      <c r="C37" s="144"/>
      <c r="D37" s="144"/>
      <c r="E37" s="144"/>
      <c r="F37" s="144"/>
      <c r="G37" s="144"/>
      <c r="H37" s="144"/>
      <c r="I37" s="144"/>
      <c r="J37" s="144"/>
      <c r="K37" s="144"/>
      <c r="L37" s="144"/>
      <c r="M37" s="144"/>
      <c r="N37" s="144"/>
      <c r="O37" s="144"/>
      <c r="P37" s="144"/>
      <c r="Q37" s="144"/>
      <c r="R37" s="415"/>
    </row>
    <row r="38" spans="1:18" ht="15.75" thickBot="1" x14ac:dyDescent="0.3">
      <c r="A38" s="545" t="s">
        <v>40</v>
      </c>
      <c r="B38" s="546"/>
      <c r="C38" s="67"/>
      <c r="D38" s="67"/>
      <c r="E38" s="67"/>
      <c r="F38" s="68"/>
      <c r="G38" s="69"/>
      <c r="H38" s="70"/>
      <c r="I38" s="71"/>
      <c r="J38" s="72"/>
      <c r="K38" s="67"/>
      <c r="L38" s="68"/>
      <c r="M38" s="69"/>
      <c r="N38" s="70"/>
      <c r="O38" s="71"/>
      <c r="P38" s="72"/>
      <c r="Q38" s="73"/>
      <c r="R38" s="409"/>
    </row>
    <row r="39" spans="1:18" x14ac:dyDescent="0.25">
      <c r="A39" s="444" t="s">
        <v>200</v>
      </c>
      <c r="B39" s="247" t="s">
        <v>301</v>
      </c>
      <c r="C39" s="428" t="s">
        <v>112</v>
      </c>
      <c r="D39" s="299" t="s">
        <v>162</v>
      </c>
      <c r="E39" s="288">
        <v>0</v>
      </c>
      <c r="F39" s="289">
        <v>2</v>
      </c>
      <c r="G39" s="290"/>
      <c r="H39" s="291">
        <v>2</v>
      </c>
      <c r="I39" s="300"/>
      <c r="J39" s="292">
        <v>4</v>
      </c>
      <c r="K39" s="288" t="s">
        <v>110</v>
      </c>
      <c r="L39" s="289"/>
      <c r="M39" s="290"/>
      <c r="N39" s="305"/>
      <c r="O39" s="300"/>
      <c r="P39" s="254"/>
      <c r="Q39" s="249"/>
      <c r="R39" s="406"/>
    </row>
    <row r="40" spans="1:18" x14ac:dyDescent="0.25">
      <c r="A40" s="444" t="s">
        <v>201</v>
      </c>
      <c r="B40" s="247" t="s">
        <v>302</v>
      </c>
      <c r="C40" s="428" t="s">
        <v>112</v>
      </c>
      <c r="D40" s="248" t="s">
        <v>162</v>
      </c>
      <c r="E40" s="249">
        <v>0</v>
      </c>
      <c r="F40" s="289"/>
      <c r="G40" s="290"/>
      <c r="H40" s="305"/>
      <c r="I40" s="253"/>
      <c r="J40" s="292"/>
      <c r="K40" s="288"/>
      <c r="L40" s="289">
        <v>2</v>
      </c>
      <c r="M40" s="290"/>
      <c r="N40" s="305">
        <v>2</v>
      </c>
      <c r="O40" s="253"/>
      <c r="P40" s="254">
        <v>4</v>
      </c>
      <c r="Q40" s="249" t="s">
        <v>110</v>
      </c>
      <c r="R40" s="331"/>
    </row>
    <row r="41" spans="1:18" x14ac:dyDescent="0.25">
      <c r="A41" s="426" t="s">
        <v>303</v>
      </c>
      <c r="B41" s="247" t="s">
        <v>304</v>
      </c>
      <c r="C41" s="450" t="s">
        <v>112</v>
      </c>
      <c r="D41" s="497" t="s">
        <v>162</v>
      </c>
      <c r="E41" s="498">
        <v>0</v>
      </c>
      <c r="F41" s="499"/>
      <c r="G41" s="500"/>
      <c r="H41" s="500"/>
      <c r="I41" s="501"/>
      <c r="J41" s="499"/>
      <c r="K41" s="502"/>
      <c r="L41" s="488">
        <v>2</v>
      </c>
      <c r="M41" s="503">
        <v>2</v>
      </c>
      <c r="N41" s="500"/>
      <c r="O41" s="501"/>
      <c r="P41" s="504">
        <v>4</v>
      </c>
      <c r="Q41" s="498" t="s">
        <v>110</v>
      </c>
      <c r="R41" s="331"/>
    </row>
    <row r="42" spans="1:18" x14ac:dyDescent="0.25">
      <c r="A42" s="287"/>
      <c r="B42" s="247"/>
      <c r="C42" s="299"/>
      <c r="D42" s="299"/>
      <c r="E42" s="288"/>
      <c r="F42" s="289"/>
      <c r="G42" s="290"/>
      <c r="H42" s="252"/>
      <c r="I42" s="253"/>
      <c r="J42" s="254"/>
      <c r="K42" s="249"/>
      <c r="L42" s="289"/>
      <c r="M42" s="290"/>
      <c r="N42" s="305"/>
      <c r="O42" s="253"/>
      <c r="P42" s="254"/>
      <c r="Q42" s="249"/>
      <c r="R42" s="414"/>
    </row>
    <row r="43" spans="1:18" x14ac:dyDescent="0.25">
      <c r="A43" s="5"/>
      <c r="B43" s="6"/>
      <c r="C43" s="7"/>
      <c r="D43" s="7"/>
      <c r="E43" s="8"/>
      <c r="F43" s="9"/>
      <c r="G43" s="10"/>
      <c r="H43" s="11"/>
      <c r="I43" s="12"/>
      <c r="J43" s="13"/>
      <c r="K43" s="8"/>
      <c r="L43" s="9"/>
      <c r="M43" s="10"/>
      <c r="N43" s="11"/>
      <c r="O43" s="12"/>
      <c r="P43" s="13"/>
      <c r="Q43" s="8"/>
      <c r="R43" s="414"/>
    </row>
    <row r="44" spans="1:18" x14ac:dyDescent="0.25">
      <c r="A44" s="5"/>
      <c r="B44" s="6"/>
      <c r="C44" s="7"/>
      <c r="D44" s="7"/>
      <c r="E44" s="8"/>
      <c r="F44" s="9"/>
      <c r="G44" s="10"/>
      <c r="H44" s="11"/>
      <c r="I44" s="12"/>
      <c r="J44" s="13"/>
      <c r="K44" s="8"/>
      <c r="L44" s="9"/>
      <c r="M44" s="10"/>
      <c r="N44" s="11"/>
      <c r="O44" s="12"/>
      <c r="P44" s="13"/>
      <c r="Q44" s="8"/>
      <c r="R44" s="414"/>
    </row>
    <row r="45" spans="1:18" x14ac:dyDescent="0.25">
      <c r="A45" s="5"/>
      <c r="B45" s="6"/>
      <c r="C45" s="7"/>
      <c r="D45" s="7"/>
      <c r="E45" s="8"/>
      <c r="F45" s="9"/>
      <c r="G45" s="10"/>
      <c r="H45" s="11"/>
      <c r="I45" s="12"/>
      <c r="J45" s="13"/>
      <c r="K45" s="8"/>
      <c r="L45" s="9"/>
      <c r="M45" s="10"/>
      <c r="N45" s="11"/>
      <c r="O45" s="12"/>
      <c r="P45" s="13"/>
      <c r="Q45" s="8"/>
      <c r="R45" s="414"/>
    </row>
    <row r="46" spans="1:18" x14ac:dyDescent="0.25">
      <c r="A46" s="5"/>
      <c r="B46" s="6"/>
      <c r="C46" s="7"/>
      <c r="D46" s="7"/>
      <c r="E46" s="8"/>
      <c r="F46" s="9"/>
      <c r="G46" s="10"/>
      <c r="H46" s="11"/>
      <c r="I46" s="12"/>
      <c r="J46" s="13"/>
      <c r="K46" s="8"/>
      <c r="L46" s="9"/>
      <c r="M46" s="10"/>
      <c r="N46" s="11"/>
      <c r="O46" s="12"/>
      <c r="P46" s="13"/>
      <c r="Q46" s="8"/>
      <c r="R46" s="414"/>
    </row>
    <row r="47" spans="1:18" x14ac:dyDescent="0.25">
      <c r="A47" s="5"/>
      <c r="B47" s="6"/>
      <c r="C47" s="7"/>
      <c r="D47" s="7"/>
      <c r="E47" s="8"/>
      <c r="F47" s="9"/>
      <c r="G47" s="10"/>
      <c r="H47" s="11"/>
      <c r="I47" s="12"/>
      <c r="J47" s="13"/>
      <c r="K47" s="8"/>
      <c r="L47" s="9"/>
      <c r="M47" s="10"/>
      <c r="N47" s="11"/>
      <c r="O47" s="12"/>
      <c r="P47" s="13"/>
      <c r="Q47" s="8"/>
      <c r="R47" s="414"/>
    </row>
    <row r="48" spans="1:18" ht="15.75" thickBot="1" x14ac:dyDescent="0.3">
      <c r="A48" s="95"/>
      <c r="B48" s="146"/>
      <c r="C48" s="96"/>
      <c r="D48" s="96"/>
      <c r="E48" s="100"/>
      <c r="F48" s="97"/>
      <c r="G48" s="98"/>
      <c r="H48" s="99"/>
      <c r="I48" s="147"/>
      <c r="J48" s="148"/>
      <c r="K48" s="100"/>
      <c r="L48" s="97"/>
      <c r="M48" s="98"/>
      <c r="N48" s="99"/>
      <c r="O48" s="147"/>
      <c r="P48" s="148"/>
      <c r="Q48" s="100"/>
      <c r="R48" s="414"/>
    </row>
    <row r="49" spans="1:19" ht="15.75" thickBot="1" x14ac:dyDescent="0.3">
      <c r="A49" s="84" t="s">
        <v>23</v>
      </c>
      <c r="B49" s="85"/>
      <c r="C49" s="85"/>
      <c r="D49" s="85"/>
      <c r="E49" s="86"/>
      <c r="F49" s="87">
        <f>SUMIFS(F39:F48,$D39:$D48,"=DFac")</f>
        <v>2</v>
      </c>
      <c r="G49" s="88">
        <f>SUMIFS(G39:G48,$D39:$D48,"=DFac")</f>
        <v>0</v>
      </c>
      <c r="H49" s="89">
        <f>SUMIFS(H39:H48,$D39:$D48,"=DFac")</f>
        <v>2</v>
      </c>
      <c r="I49" s="90">
        <f>SUMIFS(I39:I48,$D39:$D48,"=DFac")</f>
        <v>0</v>
      </c>
      <c r="J49" s="91">
        <f>SUMIFS(J39:J48,$D39:$D48,"=DFac")</f>
        <v>4</v>
      </c>
      <c r="K49" s="92"/>
      <c r="L49" s="87">
        <f>SUMIFS(L39:L48,$D39:$D48,"=DFac")</f>
        <v>4</v>
      </c>
      <c r="M49" s="88">
        <f>SUMIFS(M39:M48,$D39:$D48,"=DFac")</f>
        <v>2</v>
      </c>
      <c r="N49" s="89">
        <f>SUMIFS(N39:N48,$D39:$D48,"=DFac")</f>
        <v>2</v>
      </c>
      <c r="O49" s="90">
        <f>SUMIFS(O39:O48,$D39:$D48,"=DFac")</f>
        <v>0</v>
      </c>
      <c r="P49" s="91">
        <f>SUMIFS(P39:P48,$D39:$D48,"=DFac")</f>
        <v>8</v>
      </c>
      <c r="Q49" s="93"/>
      <c r="R49" s="416"/>
    </row>
    <row r="50" spans="1:19" x14ac:dyDescent="0.25">
      <c r="A50" s="233"/>
      <c r="B50" s="234"/>
      <c r="C50" s="234"/>
      <c r="D50" s="234"/>
      <c r="E50" s="234"/>
      <c r="F50" s="235"/>
      <c r="G50" s="236"/>
      <c r="H50" s="237"/>
      <c r="I50" s="238"/>
      <c r="J50" s="239"/>
      <c r="K50" s="234"/>
      <c r="L50" s="235"/>
      <c r="M50" s="236"/>
      <c r="N50" s="237"/>
      <c r="O50" s="238"/>
      <c r="P50" s="239"/>
      <c r="Q50" s="234"/>
    </row>
    <row r="51" spans="1:19" x14ac:dyDescent="0.25">
      <c r="A51" s="541" t="s">
        <v>122</v>
      </c>
      <c r="B51" s="541"/>
      <c r="C51" s="541"/>
      <c r="D51" s="541"/>
      <c r="E51" s="541"/>
      <c r="F51" s="541"/>
      <c r="G51" s="541"/>
      <c r="H51" s="541"/>
      <c r="I51" s="541"/>
      <c r="J51" s="541"/>
      <c r="K51" s="541"/>
      <c r="L51" s="541"/>
      <c r="M51" s="541"/>
      <c r="N51" s="541"/>
      <c r="O51" s="541"/>
      <c r="P51" s="541"/>
      <c r="Q51" s="541"/>
    </row>
    <row r="54" spans="1:19" s="75" customFormat="1" x14ac:dyDescent="0.25">
      <c r="A54" s="227"/>
      <c r="B54" s="224"/>
      <c r="C54" s="224"/>
      <c r="D54" s="224"/>
      <c r="E54" s="224"/>
      <c r="F54" s="23"/>
      <c r="G54" s="24"/>
      <c r="H54" s="25"/>
      <c r="I54" s="26"/>
      <c r="J54" s="27"/>
      <c r="K54" s="224"/>
      <c r="L54" s="23"/>
      <c r="M54" s="24"/>
      <c r="N54" s="25"/>
      <c r="O54" s="26"/>
      <c r="P54" s="27"/>
      <c r="Q54" s="224"/>
      <c r="R54" s="411"/>
      <c r="S54" s="74"/>
    </row>
    <row r="55" spans="1:19" x14ac:dyDescent="0.25">
      <c r="A55" s="534" t="s">
        <v>54</v>
      </c>
      <c r="B55" s="534"/>
      <c r="C55" s="534"/>
      <c r="D55" s="534"/>
      <c r="E55" s="534"/>
      <c r="F55" s="534"/>
      <c r="G55" s="534"/>
      <c r="H55" s="534"/>
      <c r="I55" s="534"/>
      <c r="J55" s="534"/>
      <c r="K55" s="534"/>
      <c r="L55" s="534"/>
      <c r="M55" s="534"/>
      <c r="N55" s="534"/>
      <c r="O55" s="534"/>
      <c r="P55" s="534"/>
      <c r="Q55" s="534"/>
    </row>
    <row r="56" spans="1:19" ht="73.5" customHeight="1" x14ac:dyDescent="0.25">
      <c r="A56" s="532" t="s">
        <v>55</v>
      </c>
      <c r="B56" s="532"/>
      <c r="C56" s="532"/>
      <c r="D56" s="532"/>
      <c r="E56" s="532"/>
      <c r="F56" s="532"/>
      <c r="G56" s="532"/>
      <c r="H56" s="532"/>
      <c r="I56" s="532"/>
      <c r="J56" s="532"/>
      <c r="K56" s="532"/>
      <c r="L56" s="532"/>
      <c r="M56" s="532"/>
      <c r="N56" s="532"/>
      <c r="O56" s="532"/>
      <c r="P56" s="532"/>
      <c r="Q56" s="532"/>
      <c r="R56" s="532"/>
    </row>
    <row r="57" spans="1:19" ht="60" customHeight="1" x14ac:dyDescent="0.25">
      <c r="A57" s="544" t="s">
        <v>56</v>
      </c>
      <c r="B57" s="536"/>
      <c r="C57" s="359"/>
      <c r="D57" s="359"/>
      <c r="E57" s="359"/>
      <c r="K57" s="359"/>
      <c r="Q57" s="359"/>
    </row>
    <row r="58" spans="1:19" x14ac:dyDescent="0.25">
      <c r="F58" s="537"/>
      <c r="G58" s="537"/>
      <c r="H58" s="537"/>
      <c r="I58" s="537"/>
      <c r="J58" s="141"/>
      <c r="K58" s="142"/>
      <c r="L58" s="537"/>
      <c r="M58" s="537"/>
      <c r="N58" s="537"/>
      <c r="O58" s="537"/>
    </row>
    <row r="59" spans="1:19" x14ac:dyDescent="0.25">
      <c r="F59" s="137"/>
      <c r="G59" s="138"/>
      <c r="H59" s="139"/>
      <c r="I59" s="140"/>
      <c r="J59" s="537"/>
      <c r="K59" s="537"/>
      <c r="L59" s="137"/>
      <c r="M59" s="138"/>
      <c r="N59" s="139"/>
      <c r="O59" s="140"/>
    </row>
    <row r="60" spans="1:19" x14ac:dyDescent="0.25">
      <c r="F60" s="137"/>
      <c r="G60" s="138"/>
      <c r="H60" s="139"/>
      <c r="I60" s="140"/>
      <c r="J60" s="141"/>
      <c r="K60" s="142"/>
      <c r="L60" s="137"/>
      <c r="M60" s="138"/>
      <c r="N60" s="139"/>
      <c r="O60" s="140"/>
    </row>
    <row r="66" spans="6:18" ht="15.75" thickBot="1" x14ac:dyDescent="0.3"/>
    <row r="67" spans="6:18" ht="15.75" thickBot="1" x14ac:dyDescent="0.3">
      <c r="F67" s="538">
        <f>SUMIFS(F12:F35,$E12:$E35,"=1")+SUMIFS(G12:G35,$E12:$E35,"=1")+SUMIFS(H12:H35,$E12:$E35,"=1")+SUMIFS(I12:I35,$E12:$E35,"=1")</f>
        <v>28</v>
      </c>
      <c r="G67" s="539"/>
      <c r="H67" s="539"/>
      <c r="I67" s="540"/>
      <c r="J67" s="522"/>
      <c r="K67" s="542"/>
      <c r="L67" s="543">
        <f>SUMIFS(L12:L35,$E12:$E35,"=1")+SUMIFS(M12:M35,$E12:$E35,"=1")+SUMIFS(N12:N35,$E12:$E35,"=1")+SUMIFS(O12:O35,$E12:$E35,"=1")</f>
        <v>27</v>
      </c>
      <c r="M67" s="543"/>
      <c r="N67" s="543"/>
      <c r="O67" s="543"/>
      <c r="P67" s="329"/>
      <c r="Q67" s="330"/>
      <c r="R67" s="417">
        <f>SUMIF($E12:$E48,"=1",R12:R48)</f>
        <v>655</v>
      </c>
    </row>
  </sheetData>
  <mergeCells count="15">
    <mergeCell ref="L1:P1"/>
    <mergeCell ref="L2:P2"/>
    <mergeCell ref="G7:K7"/>
    <mergeCell ref="E9:M9"/>
    <mergeCell ref="A38:B38"/>
    <mergeCell ref="A51:Q51"/>
    <mergeCell ref="J59:K59"/>
    <mergeCell ref="F58:I58"/>
    <mergeCell ref="L58:O58"/>
    <mergeCell ref="F67:I67"/>
    <mergeCell ref="J67:K67"/>
    <mergeCell ref="L67:O67"/>
    <mergeCell ref="A55:Q55"/>
    <mergeCell ref="A56:R56"/>
    <mergeCell ref="A57:B57"/>
  </mergeCells>
  <phoneticPr fontId="0" type="noConversion"/>
  <conditionalFormatting sqref="J50">
    <cfRule type="cellIs" dxfId="5" priority="2" operator="greaterThan">
      <formula>30</formula>
    </cfRule>
  </conditionalFormatting>
  <conditionalFormatting sqref="P50">
    <cfRule type="cellIs" dxfId="4" priority="1" operator="greaterThan">
      <formula>30</formula>
    </cfRule>
  </conditionalFormatting>
  <pageMargins left="0.43307086614173229" right="0.15748031496062992" top="0.35433070866141736" bottom="0.62992125984251968" header="0.19685039370078741" footer="0.19685039370078741"/>
  <pageSetup paperSize="9" scale="70" orientation="portrait" horizontalDpi="300" verticalDpi="300" r:id="rId1"/>
  <headerFooter>
    <oddFooter>&amp;LRECTOR,
Prof. univ. dr. Cezar Ionuț SPÎNU&amp;CDECAN,
Prof. univ. dr. ing. Dan SELIȘTEANU&amp;RDIRECTOR DEPARTAMENT,
Prof. univ. dr. ing. Dorian COJOCARU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tabSelected="1" view="pageBreakPreview" topLeftCell="A27" zoomScaleNormal="100" zoomScaleSheetLayoutView="100" workbookViewId="0">
      <selection activeCell="C25" sqref="C25"/>
    </sheetView>
  </sheetViews>
  <sheetFormatPr defaultColWidth="9.140625" defaultRowHeight="15" x14ac:dyDescent="0.25"/>
  <cols>
    <col min="1" max="1" width="45.28515625" style="3" customWidth="1"/>
    <col min="2" max="2" width="13.7109375" style="22" customWidth="1"/>
    <col min="3" max="3" width="3.42578125" style="22" customWidth="1"/>
    <col min="4" max="4" width="5.7109375" style="22" customWidth="1"/>
    <col min="5" max="5" width="4.85546875" style="22" customWidth="1"/>
    <col min="6" max="6" width="6.5703125" style="23" customWidth="1"/>
    <col min="7" max="7" width="4.140625" style="24" customWidth="1"/>
    <col min="8" max="8" width="3.85546875" style="25" customWidth="1"/>
    <col min="9" max="9" width="4" style="26" customWidth="1"/>
    <col min="10" max="10" width="7" style="27" bestFit="1" customWidth="1"/>
    <col min="11" max="11" width="4.7109375" style="22" customWidth="1"/>
    <col min="12" max="12" width="7.140625" style="23" customWidth="1"/>
    <col min="13" max="13" width="4.140625" style="24" customWidth="1"/>
    <col min="14" max="14" width="4" style="25" customWidth="1"/>
    <col min="15" max="15" width="6.42578125" style="26" customWidth="1"/>
    <col min="16" max="16" width="7" style="27" bestFit="1" customWidth="1"/>
    <col min="17" max="17" width="5.28515625" style="22" customWidth="1"/>
    <col min="18" max="18" width="5.28515625" style="403" customWidth="1"/>
    <col min="19" max="19" width="9.140625" style="29"/>
    <col min="20" max="16384" width="9.140625" style="30"/>
  </cols>
  <sheetData>
    <row r="1" spans="1:18" x14ac:dyDescent="0.25">
      <c r="A1" s="2" t="s">
        <v>0</v>
      </c>
      <c r="L1" s="524" t="s">
        <v>39</v>
      </c>
      <c r="M1" s="525"/>
      <c r="N1" s="525"/>
      <c r="O1" s="525"/>
      <c r="P1" s="525"/>
    </row>
    <row r="2" spans="1:18" ht="15" customHeight="1" x14ac:dyDescent="0.25">
      <c r="A2" s="2" t="s">
        <v>124</v>
      </c>
      <c r="L2" s="524" t="s">
        <v>291</v>
      </c>
      <c r="M2" s="525"/>
      <c r="N2" s="525"/>
      <c r="O2" s="525"/>
      <c r="P2" s="525"/>
    </row>
    <row r="3" spans="1:18" x14ac:dyDescent="0.25">
      <c r="A3" s="2" t="s">
        <v>125</v>
      </c>
    </row>
    <row r="4" spans="1:18" ht="30" x14ac:dyDescent="0.25">
      <c r="A4" s="2" t="s">
        <v>126</v>
      </c>
    </row>
    <row r="5" spans="1:18" ht="15.75" thickBot="1" x14ac:dyDescent="0.3">
      <c r="A5" s="2" t="s">
        <v>127</v>
      </c>
    </row>
    <row r="6" spans="1:18" ht="15.75" thickBot="1" x14ac:dyDescent="0.3">
      <c r="A6" s="425" t="s">
        <v>119</v>
      </c>
      <c r="F6" s="31" t="s">
        <v>32</v>
      </c>
      <c r="G6" s="32"/>
      <c r="H6" s="33"/>
      <c r="I6" s="34"/>
      <c r="J6" s="35"/>
      <c r="K6" s="36"/>
      <c r="L6" s="31" t="s">
        <v>33</v>
      </c>
    </row>
    <row r="7" spans="1:18" ht="15.75" thickBot="1" x14ac:dyDescent="0.3">
      <c r="A7" s="425" t="s">
        <v>120</v>
      </c>
      <c r="F7" s="37"/>
      <c r="G7" s="526" t="s">
        <v>34</v>
      </c>
      <c r="H7" s="527"/>
      <c r="I7" s="527"/>
      <c r="J7" s="527"/>
      <c r="K7" s="528"/>
      <c r="L7" s="38"/>
    </row>
    <row r="9" spans="1:18" ht="15.75" thickBot="1" x14ac:dyDescent="0.3">
      <c r="E9" s="529" t="s">
        <v>294</v>
      </c>
      <c r="F9" s="529"/>
      <c r="G9" s="529"/>
      <c r="H9" s="529"/>
      <c r="I9" s="529"/>
      <c r="J9" s="529"/>
      <c r="K9" s="529"/>
      <c r="L9" s="529"/>
      <c r="M9" s="529"/>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04" t="s">
        <v>43</v>
      </c>
    </row>
    <row r="11" spans="1:18" ht="15.75" thickBot="1" x14ac:dyDescent="0.3">
      <c r="A11" s="49" t="s">
        <v>41</v>
      </c>
      <c r="B11" s="4"/>
      <c r="C11" s="50"/>
      <c r="D11" s="50"/>
      <c r="E11" s="51"/>
      <c r="F11" s="52"/>
      <c r="G11" s="53"/>
      <c r="H11" s="54"/>
      <c r="I11" s="55"/>
      <c r="J11" s="56"/>
      <c r="K11" s="51"/>
      <c r="L11" s="52"/>
      <c r="M11" s="53"/>
      <c r="N11" s="54"/>
      <c r="O11" s="55"/>
      <c r="P11" s="56"/>
      <c r="Q11" s="51"/>
      <c r="R11" s="405"/>
    </row>
    <row r="12" spans="1:18" x14ac:dyDescent="0.25">
      <c r="A12" s="443" t="s">
        <v>228</v>
      </c>
      <c r="B12" s="448" t="s">
        <v>203</v>
      </c>
      <c r="C12" s="456" t="s">
        <v>115</v>
      </c>
      <c r="D12" s="240" t="s">
        <v>108</v>
      </c>
      <c r="E12" s="241">
        <v>1</v>
      </c>
      <c r="F12" s="242">
        <v>3</v>
      </c>
      <c r="G12" s="243">
        <v>1</v>
      </c>
      <c r="H12" s="244">
        <v>2</v>
      </c>
      <c r="I12" s="245"/>
      <c r="J12" s="246">
        <v>5</v>
      </c>
      <c r="K12" s="457" t="s">
        <v>109</v>
      </c>
      <c r="L12" s="242"/>
      <c r="M12" s="243"/>
      <c r="N12" s="244"/>
      <c r="O12" s="245"/>
      <c r="P12" s="246"/>
      <c r="Q12" s="241"/>
      <c r="R12" s="479">
        <f>25*J12-14*SUM(F12,G12,H12,I12)</f>
        <v>41</v>
      </c>
    </row>
    <row r="13" spans="1:18" x14ac:dyDescent="0.25">
      <c r="A13" s="444" t="s">
        <v>204</v>
      </c>
      <c r="B13" s="247" t="s">
        <v>205</v>
      </c>
      <c r="C13" s="428" t="s">
        <v>111</v>
      </c>
      <c r="D13" s="248" t="s">
        <v>108</v>
      </c>
      <c r="E13" s="249">
        <v>1</v>
      </c>
      <c r="F13" s="250">
        <v>3</v>
      </c>
      <c r="G13" s="251"/>
      <c r="H13" s="252">
        <v>1</v>
      </c>
      <c r="I13" s="253"/>
      <c r="J13" s="254">
        <v>5</v>
      </c>
      <c r="K13" s="249" t="s">
        <v>109</v>
      </c>
      <c r="L13" s="250"/>
      <c r="M13" s="251"/>
      <c r="N13" s="252"/>
      <c r="O13" s="253"/>
      <c r="P13" s="254"/>
      <c r="Q13" s="249"/>
      <c r="R13" s="479">
        <f t="shared" ref="R13:R20" si="0">25*J13-14*SUM(F13,G13,H13,I13)</f>
        <v>69</v>
      </c>
    </row>
    <row r="14" spans="1:18" ht="15.75" thickBot="1" x14ac:dyDescent="0.3">
      <c r="A14" s="444" t="s">
        <v>206</v>
      </c>
      <c r="B14" s="247" t="s">
        <v>207</v>
      </c>
      <c r="C14" s="428" t="s">
        <v>111</v>
      </c>
      <c r="D14" s="248" t="s">
        <v>108</v>
      </c>
      <c r="E14" s="249">
        <v>1</v>
      </c>
      <c r="F14" s="250"/>
      <c r="G14" s="251"/>
      <c r="H14" s="252"/>
      <c r="I14" s="253">
        <v>1</v>
      </c>
      <c r="J14" s="254">
        <v>1</v>
      </c>
      <c r="K14" s="249" t="s">
        <v>174</v>
      </c>
      <c r="L14" s="250"/>
      <c r="M14" s="251"/>
      <c r="N14" s="252"/>
      <c r="O14" s="253"/>
      <c r="P14" s="254"/>
      <c r="Q14" s="249"/>
      <c r="R14" s="479">
        <f t="shared" si="0"/>
        <v>11</v>
      </c>
    </row>
    <row r="15" spans="1:18" x14ac:dyDescent="0.25">
      <c r="A15" s="444" t="s">
        <v>208</v>
      </c>
      <c r="B15" s="247" t="s">
        <v>209</v>
      </c>
      <c r="C15" s="428" t="s">
        <v>115</v>
      </c>
      <c r="D15" s="240" t="s">
        <v>108</v>
      </c>
      <c r="E15" s="249">
        <v>1</v>
      </c>
      <c r="F15" s="250">
        <v>2</v>
      </c>
      <c r="G15" s="458">
        <v>1</v>
      </c>
      <c r="H15" s="459">
        <v>1</v>
      </c>
      <c r="I15" s="253"/>
      <c r="J15" s="254">
        <v>5</v>
      </c>
      <c r="K15" s="249" t="s">
        <v>109</v>
      </c>
      <c r="L15" s="250"/>
      <c r="M15" s="251"/>
      <c r="N15" s="252"/>
      <c r="O15" s="253"/>
      <c r="P15" s="254"/>
      <c r="Q15" s="249"/>
      <c r="R15" s="479">
        <f t="shared" si="0"/>
        <v>69</v>
      </c>
    </row>
    <row r="16" spans="1:18" x14ac:dyDescent="0.25">
      <c r="A16" s="444" t="s">
        <v>210</v>
      </c>
      <c r="B16" s="247" t="s">
        <v>211</v>
      </c>
      <c r="C16" s="428" t="s">
        <v>111</v>
      </c>
      <c r="D16" s="248" t="s">
        <v>108</v>
      </c>
      <c r="E16" s="249">
        <v>1</v>
      </c>
      <c r="F16" s="250">
        <v>2</v>
      </c>
      <c r="G16" s="458">
        <v>1</v>
      </c>
      <c r="H16" s="459">
        <v>1</v>
      </c>
      <c r="I16" s="253"/>
      <c r="J16" s="254">
        <v>5</v>
      </c>
      <c r="K16" s="249" t="s">
        <v>109</v>
      </c>
      <c r="L16" s="250"/>
      <c r="M16" s="251"/>
      <c r="N16" s="252"/>
      <c r="O16" s="253"/>
      <c r="P16" s="254"/>
      <c r="Q16" s="249"/>
      <c r="R16" s="479">
        <f t="shared" si="0"/>
        <v>69</v>
      </c>
    </row>
    <row r="17" spans="1:18" ht="15.75" thickBot="1" x14ac:dyDescent="0.3">
      <c r="A17" s="444" t="s">
        <v>212</v>
      </c>
      <c r="B17" s="247" t="s">
        <v>213</v>
      </c>
      <c r="C17" s="428" t="s">
        <v>111</v>
      </c>
      <c r="D17" s="248" t="s">
        <v>108</v>
      </c>
      <c r="E17" s="249">
        <v>1</v>
      </c>
      <c r="F17" s="250">
        <v>2</v>
      </c>
      <c r="G17" s="251">
        <v>1</v>
      </c>
      <c r="H17" s="252">
        <v>1</v>
      </c>
      <c r="I17" s="253"/>
      <c r="J17" s="254">
        <v>5</v>
      </c>
      <c r="K17" s="249" t="s">
        <v>110</v>
      </c>
      <c r="L17" s="250"/>
      <c r="M17" s="251"/>
      <c r="N17" s="252"/>
      <c r="O17" s="253"/>
      <c r="P17" s="254"/>
      <c r="Q17" s="249"/>
      <c r="R17" s="479">
        <f t="shared" si="0"/>
        <v>69</v>
      </c>
    </row>
    <row r="18" spans="1:18" x14ac:dyDescent="0.25">
      <c r="A18" s="444" t="s">
        <v>214</v>
      </c>
      <c r="B18" s="247" t="s">
        <v>215</v>
      </c>
      <c r="C18" s="428" t="s">
        <v>111</v>
      </c>
      <c r="D18" s="240" t="s">
        <v>108</v>
      </c>
      <c r="E18" s="249">
        <v>1</v>
      </c>
      <c r="F18" s="250">
        <v>3</v>
      </c>
      <c r="G18" s="251"/>
      <c r="H18" s="252">
        <v>1</v>
      </c>
      <c r="I18" s="253"/>
      <c r="J18" s="254">
        <v>3</v>
      </c>
      <c r="K18" s="249" t="s">
        <v>109</v>
      </c>
      <c r="L18" s="250"/>
      <c r="M18" s="251"/>
      <c r="N18" s="252"/>
      <c r="O18" s="253"/>
      <c r="P18" s="254"/>
      <c r="Q18" s="249"/>
      <c r="R18" s="479">
        <f t="shared" si="0"/>
        <v>19</v>
      </c>
    </row>
    <row r="19" spans="1:18" ht="18" customHeight="1" x14ac:dyDescent="0.25">
      <c r="A19" s="444" t="s">
        <v>216</v>
      </c>
      <c r="B19" s="247" t="s">
        <v>217</v>
      </c>
      <c r="C19" s="428" t="s">
        <v>111</v>
      </c>
      <c r="D19" s="248" t="s">
        <v>108</v>
      </c>
      <c r="E19" s="249">
        <v>1</v>
      </c>
      <c r="F19" s="250"/>
      <c r="G19" s="251"/>
      <c r="H19" s="252"/>
      <c r="I19" s="253">
        <v>1</v>
      </c>
      <c r="J19" s="254">
        <v>1</v>
      </c>
      <c r="K19" s="249" t="s">
        <v>174</v>
      </c>
      <c r="L19" s="250"/>
      <c r="M19" s="251"/>
      <c r="N19" s="252"/>
      <c r="O19" s="253"/>
      <c r="P19" s="254"/>
      <c r="Q19" s="249"/>
      <c r="R19" s="479">
        <f t="shared" si="0"/>
        <v>11</v>
      </c>
    </row>
    <row r="20" spans="1:18" ht="15.75" thickBot="1" x14ac:dyDescent="0.3">
      <c r="A20" s="444" t="s">
        <v>218</v>
      </c>
      <c r="B20" s="247" t="s">
        <v>221</v>
      </c>
      <c r="C20" s="428" t="s">
        <v>111</v>
      </c>
      <c r="D20" s="248" t="s">
        <v>108</v>
      </c>
      <c r="E20" s="249">
        <v>1</v>
      </c>
      <c r="F20" s="250"/>
      <c r="G20" s="251"/>
      <c r="H20" s="252"/>
      <c r="I20" s="253"/>
      <c r="J20" s="254"/>
      <c r="K20" s="249"/>
      <c r="L20" s="250">
        <v>1</v>
      </c>
      <c r="M20" s="251"/>
      <c r="N20" s="252">
        <v>1</v>
      </c>
      <c r="O20" s="253"/>
      <c r="P20" s="254">
        <v>1</v>
      </c>
      <c r="Q20" s="249" t="s">
        <v>296</v>
      </c>
      <c r="R20" s="479">
        <f t="shared" si="0"/>
        <v>0</v>
      </c>
    </row>
    <row r="21" spans="1:18" x14ac:dyDescent="0.25">
      <c r="A21" s="444" t="s">
        <v>220</v>
      </c>
      <c r="B21" s="247" t="s">
        <v>223</v>
      </c>
      <c r="C21" s="428" t="s">
        <v>111</v>
      </c>
      <c r="D21" s="240" t="s">
        <v>108</v>
      </c>
      <c r="E21" s="249">
        <v>1</v>
      </c>
      <c r="F21" s="250"/>
      <c r="G21" s="251"/>
      <c r="H21" s="252"/>
      <c r="I21" s="253"/>
      <c r="J21" s="254"/>
      <c r="K21" s="249"/>
      <c r="L21" s="250">
        <v>2</v>
      </c>
      <c r="M21" s="251"/>
      <c r="N21" s="252">
        <v>1</v>
      </c>
      <c r="O21" s="261"/>
      <c r="P21" s="262">
        <v>3</v>
      </c>
      <c r="Q21" s="257" t="s">
        <v>109</v>
      </c>
      <c r="R21" s="479">
        <f>25*P21-14*SUM(L21,M21,N21,O21)</f>
        <v>33</v>
      </c>
    </row>
    <row r="22" spans="1:18" x14ac:dyDescent="0.25">
      <c r="A22" s="444" t="s">
        <v>222</v>
      </c>
      <c r="B22" s="247" t="s">
        <v>224</v>
      </c>
      <c r="C22" s="428" t="s">
        <v>111</v>
      </c>
      <c r="D22" s="248" t="s">
        <v>108</v>
      </c>
      <c r="E22" s="249">
        <v>1</v>
      </c>
      <c r="F22" s="250"/>
      <c r="G22" s="251"/>
      <c r="H22" s="252"/>
      <c r="I22" s="253"/>
      <c r="J22" s="254"/>
      <c r="K22" s="249"/>
      <c r="L22" s="250"/>
      <c r="M22" s="251"/>
      <c r="N22" s="252"/>
      <c r="O22" s="261">
        <v>1</v>
      </c>
      <c r="P22" s="262">
        <v>1</v>
      </c>
      <c r="Q22" s="257" t="s">
        <v>174</v>
      </c>
      <c r="R22" s="479">
        <f t="shared" ref="R22:R30" si="1">25*P22-14*SUM(L22,M22,N22,O22)</f>
        <v>11</v>
      </c>
    </row>
    <row r="23" spans="1:18" ht="15.75" thickBot="1" x14ac:dyDescent="0.3">
      <c r="A23" s="444" t="s">
        <v>310</v>
      </c>
      <c r="B23" s="247" t="s">
        <v>225</v>
      </c>
      <c r="C23" s="428" t="s">
        <v>111</v>
      </c>
      <c r="D23" s="248" t="s">
        <v>108</v>
      </c>
      <c r="E23" s="249">
        <v>1</v>
      </c>
      <c r="F23" s="250"/>
      <c r="G23" s="251"/>
      <c r="H23" s="252"/>
      <c r="I23" s="253"/>
      <c r="J23" s="254"/>
      <c r="K23" s="249"/>
      <c r="L23" s="250">
        <v>2</v>
      </c>
      <c r="M23" s="251"/>
      <c r="N23" s="252">
        <v>1</v>
      </c>
      <c r="O23" s="261"/>
      <c r="P23" s="262">
        <v>3</v>
      </c>
      <c r="Q23" s="257" t="s">
        <v>109</v>
      </c>
      <c r="R23" s="479">
        <f t="shared" si="1"/>
        <v>33</v>
      </c>
    </row>
    <row r="24" spans="1:18" x14ac:dyDescent="0.25">
      <c r="A24" s="444" t="s">
        <v>311</v>
      </c>
      <c r="B24" s="247" t="s">
        <v>227</v>
      </c>
      <c r="C24" s="428" t="s">
        <v>111</v>
      </c>
      <c r="D24" s="240" t="s">
        <v>108</v>
      </c>
      <c r="E24" s="249">
        <v>1</v>
      </c>
      <c r="F24" s="250"/>
      <c r="G24" s="251"/>
      <c r="H24" s="252"/>
      <c r="I24" s="253"/>
      <c r="J24" s="254"/>
      <c r="K24" s="249"/>
      <c r="L24" s="250"/>
      <c r="M24" s="251"/>
      <c r="N24" s="252"/>
      <c r="O24" s="253">
        <v>1</v>
      </c>
      <c r="P24" s="254">
        <v>1</v>
      </c>
      <c r="Q24" s="249" t="s">
        <v>174</v>
      </c>
      <c r="R24" s="479">
        <f t="shared" si="1"/>
        <v>11</v>
      </c>
    </row>
    <row r="25" spans="1:18" x14ac:dyDescent="0.25">
      <c r="A25" s="444" t="s">
        <v>226</v>
      </c>
      <c r="B25" s="247" t="s">
        <v>229</v>
      </c>
      <c r="C25" s="428" t="s">
        <v>115</v>
      </c>
      <c r="D25" s="248" t="s">
        <v>108</v>
      </c>
      <c r="E25" s="249">
        <v>1</v>
      </c>
      <c r="F25" s="250"/>
      <c r="G25" s="251"/>
      <c r="H25" s="252"/>
      <c r="I25" s="253"/>
      <c r="J25" s="254"/>
      <c r="K25" s="249"/>
      <c r="L25" s="250">
        <v>3</v>
      </c>
      <c r="M25" s="251"/>
      <c r="N25" s="252">
        <v>1</v>
      </c>
      <c r="O25" s="253"/>
      <c r="P25" s="254">
        <v>4</v>
      </c>
      <c r="Q25" s="249" t="s">
        <v>109</v>
      </c>
      <c r="R25" s="479">
        <f t="shared" si="1"/>
        <v>44</v>
      </c>
    </row>
    <row r="26" spans="1:18" ht="15.75" thickBot="1" x14ac:dyDescent="0.3">
      <c r="A26" s="444" t="s">
        <v>202</v>
      </c>
      <c r="B26" s="247" t="s">
        <v>231</v>
      </c>
      <c r="C26" s="428" t="s">
        <v>115</v>
      </c>
      <c r="D26" s="248" t="s">
        <v>108</v>
      </c>
      <c r="E26" s="257">
        <v>1</v>
      </c>
      <c r="F26" s="258"/>
      <c r="G26" s="259"/>
      <c r="H26" s="260"/>
      <c r="I26" s="261"/>
      <c r="J26" s="262"/>
      <c r="K26" s="257"/>
      <c r="L26" s="258">
        <v>2</v>
      </c>
      <c r="M26" s="458"/>
      <c r="N26" s="459">
        <v>1</v>
      </c>
      <c r="O26" s="261"/>
      <c r="P26" s="262">
        <v>3</v>
      </c>
      <c r="Q26" s="257" t="s">
        <v>109</v>
      </c>
      <c r="R26" s="479">
        <f t="shared" si="1"/>
        <v>33</v>
      </c>
    </row>
    <row r="27" spans="1:18" x14ac:dyDescent="0.25">
      <c r="A27" s="444" t="s">
        <v>230</v>
      </c>
      <c r="B27" s="247" t="s">
        <v>233</v>
      </c>
      <c r="C27" s="428" t="s">
        <v>111</v>
      </c>
      <c r="D27" s="240" t="s">
        <v>108</v>
      </c>
      <c r="E27" s="257">
        <v>1</v>
      </c>
      <c r="F27" s="258"/>
      <c r="G27" s="259"/>
      <c r="H27" s="260"/>
      <c r="I27" s="261"/>
      <c r="J27" s="262"/>
      <c r="K27" s="257"/>
      <c r="L27" s="258">
        <v>2</v>
      </c>
      <c r="M27" s="259"/>
      <c r="N27" s="260">
        <v>2</v>
      </c>
      <c r="O27" s="261"/>
      <c r="P27" s="262">
        <v>3</v>
      </c>
      <c r="Q27" s="257" t="s">
        <v>109</v>
      </c>
      <c r="R27" s="479">
        <f t="shared" si="1"/>
        <v>19</v>
      </c>
    </row>
    <row r="28" spans="1:18" x14ac:dyDescent="0.25">
      <c r="A28" s="444" t="s">
        <v>232</v>
      </c>
      <c r="B28" s="247" t="s">
        <v>235</v>
      </c>
      <c r="C28" s="428" t="s">
        <v>115</v>
      </c>
      <c r="D28" s="248" t="s">
        <v>108</v>
      </c>
      <c r="E28" s="257">
        <v>1</v>
      </c>
      <c r="F28" s="258"/>
      <c r="G28" s="259"/>
      <c r="H28" s="260"/>
      <c r="I28" s="261"/>
      <c r="J28" s="262"/>
      <c r="K28" s="257"/>
      <c r="L28" s="258">
        <v>2</v>
      </c>
      <c r="M28" s="259"/>
      <c r="N28" s="260">
        <v>1</v>
      </c>
      <c r="O28" s="261"/>
      <c r="P28" s="262">
        <v>3</v>
      </c>
      <c r="Q28" s="257" t="s">
        <v>110</v>
      </c>
      <c r="R28" s="479">
        <f t="shared" si="1"/>
        <v>33</v>
      </c>
    </row>
    <row r="29" spans="1:18" x14ac:dyDescent="0.25">
      <c r="A29" s="444" t="s">
        <v>234</v>
      </c>
      <c r="B29" s="247" t="s">
        <v>236</v>
      </c>
      <c r="C29" s="428" t="s">
        <v>115</v>
      </c>
      <c r="D29" s="248" t="s">
        <v>108</v>
      </c>
      <c r="E29" s="257">
        <v>1</v>
      </c>
      <c r="F29" s="258"/>
      <c r="G29" s="259"/>
      <c r="H29" s="260"/>
      <c r="I29" s="261"/>
      <c r="J29" s="262"/>
      <c r="K29" s="257"/>
      <c r="L29" s="258">
        <v>2</v>
      </c>
      <c r="M29" s="259">
        <v>1</v>
      </c>
      <c r="N29" s="260">
        <v>1</v>
      </c>
      <c r="O29" s="261"/>
      <c r="P29" s="262">
        <v>3</v>
      </c>
      <c r="Q29" s="257" t="s">
        <v>110</v>
      </c>
      <c r="R29" s="479">
        <f t="shared" si="1"/>
        <v>19</v>
      </c>
    </row>
    <row r="30" spans="1:18" x14ac:dyDescent="0.25">
      <c r="A30" s="480" t="s">
        <v>305</v>
      </c>
      <c r="B30" s="490" t="s">
        <v>239</v>
      </c>
      <c r="C30" s="450" t="s">
        <v>115</v>
      </c>
      <c r="D30" s="468" t="s">
        <v>108</v>
      </c>
      <c r="E30" s="469">
        <v>2</v>
      </c>
      <c r="F30" s="470"/>
      <c r="G30" s="458"/>
      <c r="H30" s="459"/>
      <c r="I30" s="471"/>
      <c r="J30" s="472"/>
      <c r="K30" s="469"/>
      <c r="L30" s="470"/>
      <c r="M30" s="458"/>
      <c r="N30" s="459"/>
      <c r="O30" s="505">
        <v>6.43</v>
      </c>
      <c r="P30" s="472">
        <v>5</v>
      </c>
      <c r="Q30" s="469" t="s">
        <v>110</v>
      </c>
      <c r="R30" s="506">
        <f t="shared" si="1"/>
        <v>34.980000000000004</v>
      </c>
    </row>
    <row r="31" spans="1:18" x14ac:dyDescent="0.25">
      <c r="A31" s="263"/>
      <c r="B31" s="247"/>
      <c r="C31" s="256"/>
      <c r="D31" s="256"/>
      <c r="E31" s="257"/>
      <c r="F31" s="258"/>
      <c r="G31" s="259"/>
      <c r="H31" s="260"/>
      <c r="I31" s="261"/>
      <c r="J31" s="262"/>
      <c r="K31" s="257"/>
      <c r="L31" s="258"/>
      <c r="M31" s="259"/>
      <c r="N31" s="260"/>
      <c r="O31" s="261"/>
      <c r="P31" s="262"/>
      <c r="Q31" s="257"/>
      <c r="R31" s="331"/>
    </row>
    <row r="32" spans="1:18" x14ac:dyDescent="0.25">
      <c r="A32" s="263"/>
      <c r="B32" s="247"/>
      <c r="C32" s="256"/>
      <c r="D32" s="256"/>
      <c r="E32" s="257"/>
      <c r="F32" s="258"/>
      <c r="G32" s="259"/>
      <c r="H32" s="260"/>
      <c r="I32" s="261"/>
      <c r="J32" s="262"/>
      <c r="K32" s="257"/>
      <c r="L32" s="258"/>
      <c r="M32" s="259"/>
      <c r="N32" s="260"/>
      <c r="O32" s="261"/>
      <c r="P32" s="262"/>
      <c r="Q32" s="257"/>
      <c r="R32" s="331"/>
    </row>
    <row r="33" spans="1:19" x14ac:dyDescent="0.25">
      <c r="A33" s="5"/>
      <c r="B33" s="6"/>
      <c r="C33" s="7"/>
      <c r="D33" s="7"/>
      <c r="E33" s="8"/>
      <c r="F33" s="9"/>
      <c r="G33" s="10"/>
      <c r="H33" s="11"/>
      <c r="I33" s="12"/>
      <c r="J33" s="13"/>
      <c r="K33" s="8"/>
      <c r="L33" s="9"/>
      <c r="M33" s="10"/>
      <c r="N33" s="11"/>
      <c r="O33" s="12"/>
      <c r="P33" s="13"/>
      <c r="Q33" s="8"/>
      <c r="R33" s="331"/>
    </row>
    <row r="34" spans="1:19" x14ac:dyDescent="0.25">
      <c r="A34" s="5"/>
      <c r="B34" s="6"/>
      <c r="C34" s="7"/>
      <c r="D34" s="7"/>
      <c r="E34" s="8"/>
      <c r="F34" s="9"/>
      <c r="G34" s="10"/>
      <c r="H34" s="11"/>
      <c r="I34" s="12"/>
      <c r="J34" s="13"/>
      <c r="K34" s="8"/>
      <c r="L34" s="9"/>
      <c r="M34" s="10"/>
      <c r="N34" s="11"/>
      <c r="O34" s="12"/>
      <c r="P34" s="13"/>
      <c r="Q34" s="8"/>
      <c r="R34" s="331"/>
    </row>
    <row r="35" spans="1:19" ht="15.75" thickBot="1" x14ac:dyDescent="0.3">
      <c r="A35" s="5"/>
      <c r="B35" s="6"/>
      <c r="C35" s="7"/>
      <c r="D35" s="7"/>
      <c r="E35" s="8"/>
      <c r="F35" s="9"/>
      <c r="G35" s="10"/>
      <c r="H35" s="11"/>
      <c r="I35" s="12"/>
      <c r="J35" s="13"/>
      <c r="K35" s="8"/>
      <c r="L35" s="9"/>
      <c r="M35" s="10"/>
      <c r="N35" s="11"/>
      <c r="O35" s="12"/>
      <c r="P35" s="13"/>
      <c r="Q35" s="8"/>
      <c r="R35" s="331"/>
    </row>
    <row r="36" spans="1:19" ht="15.75" thickBot="1" x14ac:dyDescent="0.3">
      <c r="A36" s="58" t="s">
        <v>23</v>
      </c>
      <c r="B36" s="59"/>
      <c r="C36" s="59"/>
      <c r="D36" s="59"/>
      <c r="E36" s="60"/>
      <c r="F36" s="61">
        <f>SUMIFS(F12:F35,$E12:$E35,"=1")</f>
        <v>15</v>
      </c>
      <c r="G36" s="62">
        <f>SUMIFS(G12:G35,$E12:$E35,"=1")</f>
        <v>4</v>
      </c>
      <c r="H36" s="63">
        <f>SUMIFS(H12:H35,$E12:$E35,"=1")</f>
        <v>7</v>
      </c>
      <c r="I36" s="64">
        <f>SUMIFS(I12:I35,$E12:$E35,"=1")</f>
        <v>2</v>
      </c>
      <c r="J36" s="65">
        <f>SUMIFS(J12:J35,$E12:$E35,"=1")+SUMIFS(J12:J35,$D12:$D35,"=DI",$E12:$E35,"=2")</f>
        <v>30</v>
      </c>
      <c r="K36" s="60"/>
      <c r="L36" s="61">
        <f>SUMIFS(L12:L35,$E12:$E35,"=1")</f>
        <v>16</v>
      </c>
      <c r="M36" s="62">
        <f>SUMIFS(M12:M35,$E12:$E35,"=1")</f>
        <v>1</v>
      </c>
      <c r="N36" s="63">
        <f>SUMIFS(N12:N35,$E12:$E35,"=1")</f>
        <v>9</v>
      </c>
      <c r="O36" s="64">
        <f>SUMIFS(O12:O35,$E12:$E35,"=1")</f>
        <v>2</v>
      </c>
      <c r="P36" s="65">
        <f>SUMIFS(P12:P35,$E12:$E35,"=1")+SUMIFS(P12:P35,$D12:$D35,"=DI",$E12:$E35,"=2")</f>
        <v>30</v>
      </c>
      <c r="Q36" s="60"/>
      <c r="R36" s="407"/>
    </row>
    <row r="37" spans="1:19" ht="15.75" thickBot="1" x14ac:dyDescent="0.3">
      <c r="A37" s="66"/>
      <c r="B37" s="20"/>
      <c r="C37" s="20"/>
      <c r="D37" s="20"/>
      <c r="E37" s="20"/>
      <c r="F37" s="20"/>
      <c r="G37" s="20"/>
      <c r="H37" s="20"/>
      <c r="I37" s="20"/>
      <c r="J37" s="20"/>
      <c r="K37" s="20"/>
      <c r="L37" s="20"/>
      <c r="M37" s="20"/>
      <c r="N37" s="20"/>
      <c r="O37" s="20"/>
      <c r="P37" s="20"/>
      <c r="Q37" s="20"/>
      <c r="R37" s="408"/>
    </row>
    <row r="38" spans="1:19" ht="15" customHeight="1" thickBot="1" x14ac:dyDescent="0.3">
      <c r="A38" s="545" t="s">
        <v>40</v>
      </c>
      <c r="B38" s="546"/>
      <c r="C38" s="67"/>
      <c r="D38" s="67"/>
      <c r="E38" s="67"/>
      <c r="F38" s="68"/>
      <c r="G38" s="69"/>
      <c r="H38" s="70"/>
      <c r="I38" s="71"/>
      <c r="J38" s="72"/>
      <c r="K38" s="67"/>
      <c r="L38" s="68"/>
      <c r="M38" s="69"/>
      <c r="N38" s="70"/>
      <c r="O38" s="71"/>
      <c r="P38" s="72"/>
      <c r="Q38" s="67"/>
      <c r="R38" s="409"/>
    </row>
    <row r="39" spans="1:19" x14ac:dyDescent="0.25">
      <c r="A39" s="444" t="s">
        <v>237</v>
      </c>
      <c r="B39" s="247" t="s">
        <v>219</v>
      </c>
      <c r="C39" s="248" t="s">
        <v>112</v>
      </c>
      <c r="D39" s="248" t="s">
        <v>162</v>
      </c>
      <c r="E39" s="249">
        <v>0</v>
      </c>
      <c r="F39" s="250">
        <v>2</v>
      </c>
      <c r="G39" s="251"/>
      <c r="H39" s="252">
        <v>2</v>
      </c>
      <c r="I39" s="253"/>
      <c r="J39" s="254">
        <v>4</v>
      </c>
      <c r="K39" s="249" t="s">
        <v>110</v>
      </c>
      <c r="L39" s="250"/>
      <c r="M39" s="251"/>
      <c r="N39" s="252"/>
      <c r="O39" s="253"/>
      <c r="P39" s="254"/>
      <c r="Q39" s="249"/>
      <c r="R39" s="331"/>
    </row>
    <row r="40" spans="1:19" x14ac:dyDescent="0.25">
      <c r="A40" s="444" t="s">
        <v>238</v>
      </c>
      <c r="B40" s="247" t="s">
        <v>241</v>
      </c>
      <c r="C40" s="248" t="s">
        <v>112</v>
      </c>
      <c r="D40" s="248" t="s">
        <v>162</v>
      </c>
      <c r="E40" s="249">
        <v>0</v>
      </c>
      <c r="F40" s="250"/>
      <c r="G40" s="251"/>
      <c r="H40" s="252"/>
      <c r="I40" s="253"/>
      <c r="J40" s="254"/>
      <c r="K40" s="249"/>
      <c r="L40" s="250">
        <v>2</v>
      </c>
      <c r="M40" s="251"/>
      <c r="N40" s="252">
        <v>2</v>
      </c>
      <c r="O40" s="253"/>
      <c r="P40" s="254">
        <v>4</v>
      </c>
      <c r="Q40" s="249" t="s">
        <v>110</v>
      </c>
      <c r="R40" s="331"/>
    </row>
    <row r="41" spans="1:19" x14ac:dyDescent="0.25">
      <c r="A41" s="444" t="s">
        <v>240</v>
      </c>
      <c r="B41" s="247" t="s">
        <v>243</v>
      </c>
      <c r="C41" s="256" t="s">
        <v>112</v>
      </c>
      <c r="D41" s="256" t="s">
        <v>162</v>
      </c>
      <c r="E41" s="257">
        <v>0</v>
      </c>
      <c r="F41" s="258"/>
      <c r="G41" s="259"/>
      <c r="H41" s="260"/>
      <c r="I41" s="261"/>
      <c r="J41" s="262"/>
      <c r="K41" s="257"/>
      <c r="L41" s="258">
        <v>2</v>
      </c>
      <c r="M41" s="259"/>
      <c r="N41" s="260"/>
      <c r="O41" s="261"/>
      <c r="P41" s="254">
        <v>2</v>
      </c>
      <c r="Q41" s="249" t="s">
        <v>110</v>
      </c>
      <c r="R41" s="8"/>
    </row>
    <row r="42" spans="1:19" s="75" customFormat="1" x14ac:dyDescent="0.25">
      <c r="A42" s="444" t="s">
        <v>242</v>
      </c>
      <c r="B42" s="247" t="s">
        <v>308</v>
      </c>
      <c r="C42" s="248" t="s">
        <v>112</v>
      </c>
      <c r="D42" s="248" t="s">
        <v>162</v>
      </c>
      <c r="E42" s="249">
        <v>0</v>
      </c>
      <c r="F42" s="289"/>
      <c r="G42" s="290"/>
      <c r="H42" s="305"/>
      <c r="I42" s="253"/>
      <c r="J42" s="292"/>
      <c r="K42" s="288"/>
      <c r="L42" s="289">
        <v>2</v>
      </c>
      <c r="M42" s="290"/>
      <c r="N42" s="305"/>
      <c r="O42" s="253"/>
      <c r="P42" s="254">
        <v>2</v>
      </c>
      <c r="Q42" s="249" t="s">
        <v>110</v>
      </c>
      <c r="R42" s="8"/>
      <c r="S42" s="74"/>
    </row>
    <row r="43" spans="1:19" ht="18.75" customHeight="1" x14ac:dyDescent="0.25">
      <c r="A43" s="266"/>
      <c r="B43" s="247"/>
      <c r="C43" s="248"/>
      <c r="D43" s="299"/>
      <c r="E43" s="249"/>
      <c r="F43" s="21"/>
      <c r="G43" s="16"/>
      <c r="H43" s="17"/>
      <c r="I43" s="18"/>
      <c r="J43" s="19"/>
      <c r="K43" s="14"/>
      <c r="L43" s="15"/>
      <c r="M43" s="16"/>
      <c r="N43" s="17"/>
      <c r="O43" s="18"/>
      <c r="P43" s="13"/>
      <c r="Q43" s="8"/>
      <c r="R43" s="418"/>
    </row>
    <row r="44" spans="1:19" x14ac:dyDescent="0.25">
      <c r="A44" s="76"/>
      <c r="B44" s="77"/>
      <c r="C44" s="78"/>
      <c r="D44" s="78"/>
      <c r="E44" s="79"/>
      <c r="F44" s="21"/>
      <c r="G44" s="16"/>
      <c r="H44" s="17"/>
      <c r="I44" s="18"/>
      <c r="J44" s="19"/>
      <c r="K44" s="14"/>
      <c r="L44" s="15"/>
      <c r="M44" s="16"/>
      <c r="N44" s="17"/>
      <c r="O44" s="18"/>
      <c r="P44" s="13"/>
      <c r="Q44" s="8"/>
      <c r="R44" s="418"/>
    </row>
    <row r="45" spans="1:19" x14ac:dyDescent="0.25">
      <c r="A45" s="76"/>
      <c r="B45" s="77"/>
      <c r="C45" s="78"/>
      <c r="D45" s="78"/>
      <c r="E45" s="79"/>
      <c r="F45" s="21"/>
      <c r="G45" s="16"/>
      <c r="H45" s="17"/>
      <c r="I45" s="18"/>
      <c r="J45" s="19"/>
      <c r="K45" s="14"/>
      <c r="L45" s="15"/>
      <c r="M45" s="16"/>
      <c r="N45" s="17"/>
      <c r="O45" s="18"/>
      <c r="P45" s="13"/>
      <c r="Q45" s="8"/>
      <c r="R45" s="418"/>
    </row>
    <row r="46" spans="1:19" x14ac:dyDescent="0.25">
      <c r="A46" s="76"/>
      <c r="B46" s="77"/>
      <c r="C46" s="78"/>
      <c r="D46" s="78"/>
      <c r="E46" s="79"/>
      <c r="F46" s="21"/>
      <c r="G46" s="16"/>
      <c r="H46" s="17"/>
      <c r="I46" s="18"/>
      <c r="J46" s="19"/>
      <c r="K46" s="14"/>
      <c r="L46" s="15"/>
      <c r="M46" s="16"/>
      <c r="N46" s="17"/>
      <c r="O46" s="18"/>
      <c r="P46" s="13"/>
      <c r="Q46" s="8"/>
      <c r="R46" s="418"/>
    </row>
    <row r="47" spans="1:19" x14ac:dyDescent="0.25">
      <c r="A47" s="76"/>
      <c r="B47" s="77"/>
      <c r="C47" s="78"/>
      <c r="D47" s="78"/>
      <c r="E47" s="79"/>
      <c r="F47" s="21"/>
      <c r="G47" s="16"/>
      <c r="H47" s="17"/>
      <c r="I47" s="18"/>
      <c r="J47" s="19"/>
      <c r="K47" s="14"/>
      <c r="L47" s="15"/>
      <c r="M47" s="16"/>
      <c r="N47" s="17"/>
      <c r="O47" s="18"/>
      <c r="P47" s="13"/>
      <c r="Q47" s="8"/>
      <c r="R47" s="418"/>
    </row>
    <row r="48" spans="1:19" x14ac:dyDescent="0.25">
      <c r="A48" s="80"/>
      <c r="B48" s="81"/>
      <c r="C48" s="82"/>
      <c r="D48" s="82"/>
      <c r="E48" s="83"/>
      <c r="F48" s="21"/>
      <c r="G48" s="16"/>
      <c r="H48" s="17"/>
      <c r="I48" s="18"/>
      <c r="J48" s="19"/>
      <c r="K48" s="14"/>
      <c r="L48" s="15"/>
      <c r="M48" s="16"/>
      <c r="N48" s="17"/>
      <c r="O48" s="18"/>
      <c r="P48" s="13"/>
      <c r="Q48" s="8"/>
      <c r="R48" s="418"/>
    </row>
    <row r="49" spans="1:18" x14ac:dyDescent="0.25">
      <c r="A49" s="80"/>
      <c r="B49" s="81"/>
      <c r="C49" s="82"/>
      <c r="D49" s="82"/>
      <c r="E49" s="83"/>
      <c r="F49" s="21"/>
      <c r="G49" s="16"/>
      <c r="H49" s="17"/>
      <c r="I49" s="18"/>
      <c r="J49" s="19"/>
      <c r="K49" s="14"/>
      <c r="L49" s="15"/>
      <c r="M49" s="16"/>
      <c r="N49" s="17"/>
      <c r="O49" s="18"/>
      <c r="P49" s="13"/>
      <c r="Q49" s="8"/>
      <c r="R49" s="418"/>
    </row>
    <row r="50" spans="1:18" ht="15.75" thickBot="1" x14ac:dyDescent="0.3">
      <c r="A50" s="80"/>
      <c r="B50" s="81"/>
      <c r="C50" s="82"/>
      <c r="D50" s="82"/>
      <c r="E50" s="83"/>
      <c r="F50" s="21"/>
      <c r="G50" s="16"/>
      <c r="H50" s="17"/>
      <c r="I50" s="18"/>
      <c r="J50" s="19"/>
      <c r="K50" s="14"/>
      <c r="L50" s="15"/>
      <c r="M50" s="16"/>
      <c r="N50" s="17"/>
      <c r="O50" s="18"/>
      <c r="P50" s="13"/>
      <c r="Q50" s="8"/>
      <c r="R50" s="418"/>
    </row>
    <row r="51" spans="1:18" ht="15" customHeight="1" thickBot="1" x14ac:dyDescent="0.3">
      <c r="A51" s="84" t="s">
        <v>23</v>
      </c>
      <c r="B51" s="85"/>
      <c r="C51" s="85"/>
      <c r="D51" s="85"/>
      <c r="E51" s="86"/>
      <c r="F51" s="87">
        <f>SUMIFS(F39:F50,$D39:$D50,"=DFac")</f>
        <v>2</v>
      </c>
      <c r="G51" s="88">
        <f>SUMIFS(G39:G50,$D39:$D50,"=DFac")</f>
        <v>0</v>
      </c>
      <c r="H51" s="89">
        <f>SUMIFS(H39:H50,$D39:$D50,"=DFac")</f>
        <v>2</v>
      </c>
      <c r="I51" s="90">
        <f>SUMIFS(I39:I50,$D39:$D50,"=DFac")</f>
        <v>0</v>
      </c>
      <c r="J51" s="91">
        <f>SUMIFS(J39:J50,$D39:$D50,"=DFac")</f>
        <v>4</v>
      </c>
      <c r="K51" s="92"/>
      <c r="L51" s="87">
        <f>SUMIFS(L39:L50,$D39:$D50,"=DFac")</f>
        <v>6</v>
      </c>
      <c r="M51" s="88">
        <f>SUMIFS(M39:M50,$D39:$D50,"=DFac")</f>
        <v>0</v>
      </c>
      <c r="N51" s="89">
        <f>SUMIFS(N39:N50,$D39:$D50,"=DFac")</f>
        <v>2</v>
      </c>
      <c r="O51" s="90">
        <f>SUMIFS(O39:O50,$D39:$D50,"=DFac")</f>
        <v>0</v>
      </c>
      <c r="P51" s="91">
        <f>SUMIFS(P39:P50,$D39:$D50,"=DFac")</f>
        <v>8</v>
      </c>
      <c r="Q51" s="93"/>
      <c r="R51" s="416"/>
    </row>
    <row r="52" spans="1:18" x14ac:dyDescent="0.25">
      <c r="A52" s="233"/>
      <c r="B52" s="234"/>
      <c r="C52" s="234"/>
      <c r="D52" s="234"/>
      <c r="E52" s="234"/>
      <c r="F52" s="235"/>
      <c r="G52" s="236"/>
      <c r="H52" s="237"/>
      <c r="I52" s="238"/>
      <c r="J52" s="239"/>
      <c r="K52" s="234"/>
      <c r="L52" s="235"/>
      <c r="M52" s="236"/>
      <c r="N52" s="237"/>
      <c r="O52" s="238"/>
      <c r="P52" s="239"/>
      <c r="Q52" s="234"/>
    </row>
    <row r="53" spans="1:18" x14ac:dyDescent="0.25">
      <c r="A53" s="107"/>
      <c r="B53" s="28"/>
      <c r="C53" s="28"/>
      <c r="D53" s="28"/>
      <c r="E53" s="28"/>
      <c r="J53" s="229"/>
      <c r="K53" s="28"/>
      <c r="P53" s="229"/>
      <c r="Q53" s="28"/>
    </row>
    <row r="57" spans="1:18" x14ac:dyDescent="0.25">
      <c r="A57" s="534" t="s">
        <v>54</v>
      </c>
      <c r="B57" s="534"/>
      <c r="C57" s="534"/>
      <c r="D57" s="534"/>
      <c r="E57" s="534"/>
      <c r="F57" s="534"/>
      <c r="G57" s="534"/>
      <c r="H57" s="534"/>
      <c r="I57" s="534"/>
      <c r="J57" s="534"/>
      <c r="K57" s="534"/>
      <c r="L57" s="534"/>
      <c r="M57" s="534"/>
      <c r="N57" s="534"/>
      <c r="O57" s="534"/>
      <c r="P57" s="534"/>
      <c r="Q57" s="534"/>
    </row>
    <row r="58" spans="1:18" ht="75" customHeight="1" x14ac:dyDescent="0.25">
      <c r="A58" s="532" t="s">
        <v>55</v>
      </c>
      <c r="B58" s="532"/>
      <c r="C58" s="532"/>
      <c r="D58" s="532"/>
      <c r="E58" s="532"/>
      <c r="F58" s="532"/>
      <c r="G58" s="532"/>
      <c r="H58" s="532"/>
      <c r="I58" s="532"/>
      <c r="J58" s="532"/>
      <c r="K58" s="532"/>
      <c r="L58" s="532"/>
      <c r="M58" s="532"/>
      <c r="N58" s="532"/>
      <c r="O58" s="532"/>
      <c r="P58" s="532"/>
      <c r="Q58" s="532"/>
      <c r="R58" s="532"/>
    </row>
    <row r="59" spans="1:18" ht="61.5" customHeight="1" x14ac:dyDescent="0.25">
      <c r="A59" s="107" t="s">
        <v>57</v>
      </c>
      <c r="B59" s="359"/>
      <c r="C59" s="359"/>
      <c r="D59" s="359"/>
      <c r="E59" s="359"/>
      <c r="K59" s="359"/>
      <c r="Q59" s="359"/>
    </row>
    <row r="68" spans="6:18" ht="15.75" thickBot="1" x14ac:dyDescent="0.3"/>
    <row r="69" spans="6:18" ht="15.75" thickBot="1" x14ac:dyDescent="0.3">
      <c r="F69" s="538">
        <f>SUMIFS(F12:F35,$E12:$E35,"=1")+SUMIFS(G12:G35,$E12:$E35,"=1")+SUMIFS(H12:H35,$E12:$E35,"=1")+SUMIFS(I12:I35,$E12:$E35,"=1")</f>
        <v>28</v>
      </c>
      <c r="G69" s="539"/>
      <c r="H69" s="539"/>
      <c r="I69" s="540"/>
      <c r="J69" s="522"/>
      <c r="K69" s="542"/>
      <c r="L69" s="538">
        <f>SUMIFS(L12:L35,$E12:$E35,"=1")+SUMIFS(M12:M35,$E12:$E35,"=1")+SUMIFS(N12:N35,$E12:$E35,"=1")+SUMIFS(O12:O35,$E12:$E35,"=1")</f>
        <v>28</v>
      </c>
      <c r="M69" s="539"/>
      <c r="N69" s="539"/>
      <c r="O69" s="540"/>
      <c r="P69" s="329"/>
      <c r="Q69" s="330"/>
      <c r="R69" s="419">
        <f>SUMIF($E12:$E50,"=1",R12:R50)</f>
        <v>594</v>
      </c>
    </row>
  </sheetData>
  <mergeCells count="10">
    <mergeCell ref="F69:I69"/>
    <mergeCell ref="L69:O69"/>
    <mergeCell ref="J69:K69"/>
    <mergeCell ref="A38:B38"/>
    <mergeCell ref="L1:P1"/>
    <mergeCell ref="L2:P2"/>
    <mergeCell ref="G7:K7"/>
    <mergeCell ref="E9:M9"/>
    <mergeCell ref="A57:Q57"/>
    <mergeCell ref="A58:R58"/>
  </mergeCells>
  <phoneticPr fontId="2" type="noConversion"/>
  <conditionalFormatting sqref="J52">
    <cfRule type="cellIs" dxfId="3" priority="2" operator="greaterThan">
      <formula>30</formula>
    </cfRule>
  </conditionalFormatting>
  <conditionalFormatting sqref="P52">
    <cfRule type="cellIs" dxfId="2" priority="1" operator="greaterThan">
      <formula>30</formula>
    </cfRule>
  </conditionalFormatting>
  <pageMargins left="0.35433070866141736" right="0.19685039370078741" top="0.43307086614173229" bottom="0.55118110236220474" header="0.23622047244094491" footer="0.11811023622047245"/>
  <pageSetup paperSize="9" scale="70" orientation="portrait" horizontalDpi="300" verticalDpi="300" r:id="rId1"/>
  <headerFooter alignWithMargins="0">
    <oddFooter xml:space="preserve">&amp;LRECTOR,
Prof. univ. dr. Cezar Ionuț SPÎNU&amp;CDECAN,
Prof. univ. dr. ing. Dan SELIȘTEANU&amp;RDIRECTOR DEPARTAMENT,
Prof. univ. dr. ing. Dorian COJOCARU
</oddFooter>
  </headerFooter>
  <rowBreaks count="1" manualBreakCount="1">
    <brk id="51"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70"/>
  <sheetViews>
    <sheetView view="pageBreakPreview" topLeftCell="A17" zoomScaleNormal="100" zoomScaleSheetLayoutView="100" workbookViewId="0">
      <selection activeCell="B42" sqref="B42"/>
    </sheetView>
  </sheetViews>
  <sheetFormatPr defaultColWidth="9.140625" defaultRowHeight="15" x14ac:dyDescent="0.25"/>
  <cols>
    <col min="1" max="1" width="45.42578125" style="3" customWidth="1"/>
    <col min="2" max="2" width="12" style="22" customWidth="1"/>
    <col min="3" max="3" width="3.42578125" style="22" customWidth="1"/>
    <col min="4" max="4" width="6.42578125" style="22" customWidth="1"/>
    <col min="5" max="5" width="4.85546875" style="22" customWidth="1"/>
    <col min="6" max="6" width="6.42578125" style="23" bestFit="1" customWidth="1"/>
    <col min="7" max="7" width="4.140625" style="24" customWidth="1"/>
    <col min="8" max="8" width="3.85546875" style="25" customWidth="1"/>
    <col min="9" max="9" width="4" style="26" customWidth="1"/>
    <col min="10" max="10" width="4.85546875" style="27" bestFit="1" customWidth="1"/>
    <col min="11" max="11" width="4.7109375" style="22" customWidth="1"/>
    <col min="12" max="12" width="7" style="23" bestFit="1" customWidth="1"/>
    <col min="13" max="13" width="4.140625" style="24" customWidth="1"/>
    <col min="14" max="14" width="4" style="25" customWidth="1"/>
    <col min="15" max="15" width="4.140625" style="26" customWidth="1"/>
    <col min="16" max="16" width="4.42578125" style="27" bestFit="1" customWidth="1"/>
    <col min="17" max="17" width="5.7109375" style="22" customWidth="1"/>
    <col min="18" max="18" width="6.5703125" style="403" customWidth="1"/>
    <col min="19" max="19" width="9.140625" style="29"/>
    <col min="20" max="16384" width="9.140625" style="30"/>
  </cols>
  <sheetData>
    <row r="1" spans="1:18" x14ac:dyDescent="0.25">
      <c r="A1" s="2" t="s">
        <v>0</v>
      </c>
      <c r="L1" s="524" t="s">
        <v>39</v>
      </c>
      <c r="M1" s="525"/>
      <c r="N1" s="525"/>
      <c r="O1" s="525"/>
      <c r="P1" s="525"/>
    </row>
    <row r="2" spans="1:18" ht="12.6" customHeight="1" x14ac:dyDescent="0.25">
      <c r="A2" s="2" t="s">
        <v>124</v>
      </c>
      <c r="L2" s="524" t="s">
        <v>291</v>
      </c>
      <c r="M2" s="525"/>
      <c r="N2" s="525"/>
      <c r="O2" s="525"/>
      <c r="P2" s="525"/>
    </row>
    <row r="3" spans="1:18" x14ac:dyDescent="0.25">
      <c r="A3" s="2" t="s">
        <v>125</v>
      </c>
    </row>
    <row r="4" spans="1:18" ht="30" x14ac:dyDescent="0.25">
      <c r="A4" s="2" t="s">
        <v>126</v>
      </c>
    </row>
    <row r="5" spans="1:18" ht="15.75" thickBot="1" x14ac:dyDescent="0.3">
      <c r="A5" s="2" t="s">
        <v>127</v>
      </c>
    </row>
    <row r="6" spans="1:18" ht="15.75" thickBot="1" x14ac:dyDescent="0.3">
      <c r="A6" s="425" t="s">
        <v>119</v>
      </c>
      <c r="F6" s="31" t="s">
        <v>32</v>
      </c>
      <c r="G6" s="32"/>
      <c r="H6" s="33"/>
      <c r="I6" s="34"/>
      <c r="J6" s="35"/>
      <c r="K6" s="36"/>
      <c r="L6" s="31" t="s">
        <v>33</v>
      </c>
    </row>
    <row r="7" spans="1:18" ht="15.75" thickBot="1" x14ac:dyDescent="0.3">
      <c r="A7" s="425" t="s">
        <v>120</v>
      </c>
      <c r="F7" s="37"/>
      <c r="G7" s="526" t="s">
        <v>34</v>
      </c>
      <c r="H7" s="527"/>
      <c r="I7" s="527"/>
      <c r="J7" s="527"/>
      <c r="K7" s="528"/>
      <c r="L7" s="38">
        <v>10</v>
      </c>
    </row>
    <row r="9" spans="1:18" ht="15.75" thickBot="1" x14ac:dyDescent="0.3">
      <c r="E9" s="529" t="s">
        <v>295</v>
      </c>
      <c r="F9" s="529"/>
      <c r="G9" s="529"/>
      <c r="H9" s="529"/>
      <c r="I9" s="529"/>
      <c r="J9" s="529"/>
      <c r="K9" s="529"/>
      <c r="L9" s="529"/>
      <c r="M9" s="529"/>
    </row>
    <row r="10" spans="1:18" s="48" customFormat="1" ht="75.75" thickBot="1" x14ac:dyDescent="0.3">
      <c r="A10" s="39" t="s">
        <v>1</v>
      </c>
      <c r="B10" s="40" t="s">
        <v>2</v>
      </c>
      <c r="C10" s="41" t="s">
        <v>53</v>
      </c>
      <c r="D10" s="41" t="s">
        <v>51</v>
      </c>
      <c r="E10" s="42" t="s">
        <v>36</v>
      </c>
      <c r="F10" s="43" t="s">
        <v>3</v>
      </c>
      <c r="G10" s="44" t="s">
        <v>4</v>
      </c>
      <c r="H10" s="45" t="s">
        <v>5</v>
      </c>
      <c r="I10" s="46" t="s">
        <v>6</v>
      </c>
      <c r="J10" s="47" t="s">
        <v>7</v>
      </c>
      <c r="K10" s="42" t="s">
        <v>8</v>
      </c>
      <c r="L10" s="43" t="s">
        <v>9</v>
      </c>
      <c r="M10" s="44" t="s">
        <v>10</v>
      </c>
      <c r="N10" s="45" t="s">
        <v>11</v>
      </c>
      <c r="O10" s="46" t="s">
        <v>12</v>
      </c>
      <c r="P10" s="47" t="s">
        <v>13</v>
      </c>
      <c r="Q10" s="42" t="s">
        <v>14</v>
      </c>
      <c r="R10" s="404" t="s">
        <v>43</v>
      </c>
    </row>
    <row r="11" spans="1:18" ht="15.75" thickBot="1" x14ac:dyDescent="0.3">
      <c r="A11" s="49" t="s">
        <v>41</v>
      </c>
      <c r="B11" s="4"/>
      <c r="C11" s="50"/>
      <c r="D11" s="50"/>
      <c r="E11" s="51"/>
      <c r="F11" s="52"/>
      <c r="G11" s="53"/>
      <c r="H11" s="54"/>
      <c r="I11" s="55"/>
      <c r="J11" s="56"/>
      <c r="K11" s="51"/>
      <c r="L11" s="52"/>
      <c r="M11" s="53"/>
      <c r="N11" s="54"/>
      <c r="O11" s="55"/>
      <c r="P11" s="56"/>
      <c r="Q11" s="51"/>
      <c r="R11" s="405"/>
    </row>
    <row r="12" spans="1:18" x14ac:dyDescent="0.25">
      <c r="A12" s="460" t="s">
        <v>244</v>
      </c>
      <c r="B12" s="461" t="s">
        <v>245</v>
      </c>
      <c r="C12" s="462" t="s">
        <v>115</v>
      </c>
      <c r="D12" s="431" t="s">
        <v>108</v>
      </c>
      <c r="E12" s="457">
        <v>1</v>
      </c>
      <c r="F12" s="463">
        <v>2</v>
      </c>
      <c r="G12" s="464"/>
      <c r="H12" s="465">
        <v>1</v>
      </c>
      <c r="I12" s="436"/>
      <c r="J12" s="466">
        <v>3</v>
      </c>
      <c r="K12" s="457" t="s">
        <v>110</v>
      </c>
      <c r="L12" s="463"/>
      <c r="M12" s="464"/>
      <c r="N12" s="465"/>
      <c r="O12" s="436"/>
      <c r="P12" s="466"/>
      <c r="Q12" s="457"/>
      <c r="R12" s="477">
        <f>25*J12-14*SUM(F12,G12,H12,I12)</f>
        <v>33</v>
      </c>
    </row>
    <row r="13" spans="1:18" x14ac:dyDescent="0.25">
      <c r="A13" s="460" t="s">
        <v>246</v>
      </c>
      <c r="B13" s="467" t="s">
        <v>247</v>
      </c>
      <c r="C13" s="450" t="s">
        <v>111</v>
      </c>
      <c r="D13" s="468" t="s">
        <v>108</v>
      </c>
      <c r="E13" s="469">
        <v>1</v>
      </c>
      <c r="F13" s="470">
        <v>2</v>
      </c>
      <c r="G13" s="458"/>
      <c r="H13" s="459">
        <v>1</v>
      </c>
      <c r="I13" s="471">
        <v>1</v>
      </c>
      <c r="J13" s="472">
        <v>4</v>
      </c>
      <c r="K13" s="469" t="s">
        <v>109</v>
      </c>
      <c r="L13" s="258"/>
      <c r="M13" s="259"/>
      <c r="N13" s="260"/>
      <c r="O13" s="261"/>
      <c r="P13" s="262"/>
      <c r="Q13" s="257"/>
      <c r="R13" s="477">
        <f t="shared" ref="R13:R24" si="0">25*J13-14*SUM(F13,G13,H13,I13)</f>
        <v>44</v>
      </c>
    </row>
    <row r="14" spans="1:18" x14ac:dyDescent="0.25">
      <c r="A14" s="507" t="s">
        <v>248</v>
      </c>
      <c r="B14" s="467" t="s">
        <v>249</v>
      </c>
      <c r="C14" s="450" t="s">
        <v>115</v>
      </c>
      <c r="D14" s="468" t="s">
        <v>108</v>
      </c>
      <c r="E14" s="469">
        <v>1</v>
      </c>
      <c r="F14" s="470">
        <v>2</v>
      </c>
      <c r="G14" s="458">
        <v>1</v>
      </c>
      <c r="H14" s="459">
        <v>1</v>
      </c>
      <c r="I14" s="471"/>
      <c r="J14" s="472">
        <v>5</v>
      </c>
      <c r="K14" s="469" t="s">
        <v>109</v>
      </c>
      <c r="L14" s="470"/>
      <c r="M14" s="458"/>
      <c r="N14" s="459"/>
      <c r="O14" s="471"/>
      <c r="P14" s="472"/>
      <c r="Q14" s="469"/>
      <c r="R14" s="506">
        <f t="shared" si="0"/>
        <v>69</v>
      </c>
    </row>
    <row r="15" spans="1:18" ht="28.5" x14ac:dyDescent="0.25">
      <c r="A15" s="460" t="s">
        <v>250</v>
      </c>
      <c r="B15" s="473" t="s">
        <v>251</v>
      </c>
      <c r="C15" s="429" t="s">
        <v>115</v>
      </c>
      <c r="D15" s="256" t="s">
        <v>114</v>
      </c>
      <c r="E15" s="257">
        <v>1</v>
      </c>
      <c r="F15" s="258">
        <v>2</v>
      </c>
      <c r="G15" s="259"/>
      <c r="H15" s="260">
        <v>2</v>
      </c>
      <c r="I15" s="261"/>
      <c r="J15" s="262">
        <v>4</v>
      </c>
      <c r="K15" s="257" t="s">
        <v>109</v>
      </c>
      <c r="L15" s="258"/>
      <c r="M15" s="259"/>
      <c r="N15" s="260"/>
      <c r="O15" s="261"/>
      <c r="P15" s="262"/>
      <c r="Q15" s="257"/>
      <c r="R15" s="477">
        <f t="shared" si="0"/>
        <v>44</v>
      </c>
    </row>
    <row r="16" spans="1:18" ht="28.5" x14ac:dyDescent="0.25">
      <c r="A16" s="460" t="s">
        <v>252</v>
      </c>
      <c r="B16" s="473" t="s">
        <v>253</v>
      </c>
      <c r="C16" s="429" t="s">
        <v>115</v>
      </c>
      <c r="D16" s="256" t="s">
        <v>114</v>
      </c>
      <c r="E16" s="257">
        <v>1</v>
      </c>
      <c r="F16" s="258"/>
      <c r="G16" s="259"/>
      <c r="H16" s="260"/>
      <c r="I16" s="261">
        <v>1</v>
      </c>
      <c r="J16" s="262">
        <v>1</v>
      </c>
      <c r="K16" s="257" t="s">
        <v>174</v>
      </c>
      <c r="L16" s="258"/>
      <c r="M16" s="259"/>
      <c r="N16" s="260"/>
      <c r="O16" s="261"/>
      <c r="P16" s="262"/>
      <c r="Q16" s="257"/>
      <c r="R16" s="477">
        <f t="shared" si="0"/>
        <v>11</v>
      </c>
    </row>
    <row r="17" spans="1:18" x14ac:dyDescent="0.25">
      <c r="A17" s="460" t="s">
        <v>254</v>
      </c>
      <c r="B17" s="473" t="s">
        <v>255</v>
      </c>
      <c r="C17" s="429" t="s">
        <v>115</v>
      </c>
      <c r="D17" s="256" t="s">
        <v>114</v>
      </c>
      <c r="E17" s="257">
        <v>1</v>
      </c>
      <c r="F17" s="258">
        <v>2</v>
      </c>
      <c r="G17" s="458"/>
      <c r="H17" s="459">
        <v>1</v>
      </c>
      <c r="I17" s="261">
        <v>1</v>
      </c>
      <c r="J17" s="262">
        <v>5</v>
      </c>
      <c r="K17" s="257" t="s">
        <v>109</v>
      </c>
      <c r="L17" s="258"/>
      <c r="M17" s="259"/>
      <c r="N17" s="260"/>
      <c r="O17" s="261"/>
      <c r="P17" s="262"/>
      <c r="Q17" s="257"/>
      <c r="R17" s="477">
        <f t="shared" si="0"/>
        <v>69</v>
      </c>
    </row>
    <row r="18" spans="1:18" x14ac:dyDescent="0.25">
      <c r="A18" s="460" t="s">
        <v>256</v>
      </c>
      <c r="B18" s="473" t="s">
        <v>257</v>
      </c>
      <c r="C18" s="429" t="s">
        <v>115</v>
      </c>
      <c r="D18" s="256" t="s">
        <v>114</v>
      </c>
      <c r="E18" s="257">
        <v>1</v>
      </c>
      <c r="F18" s="258">
        <v>2</v>
      </c>
      <c r="G18" s="458"/>
      <c r="H18" s="459">
        <v>1</v>
      </c>
      <c r="I18" s="261"/>
      <c r="J18" s="262">
        <v>4</v>
      </c>
      <c r="K18" s="257" t="s">
        <v>110</v>
      </c>
      <c r="L18" s="258"/>
      <c r="M18" s="259"/>
      <c r="N18" s="260"/>
      <c r="O18" s="261"/>
      <c r="P18" s="262"/>
      <c r="Q18" s="257"/>
      <c r="R18" s="477">
        <f t="shared" si="0"/>
        <v>58</v>
      </c>
    </row>
    <row r="19" spans="1:18" x14ac:dyDescent="0.25">
      <c r="A19" s="460" t="s">
        <v>258</v>
      </c>
      <c r="B19" s="473" t="s">
        <v>259</v>
      </c>
      <c r="C19" s="429" t="s">
        <v>115</v>
      </c>
      <c r="D19" s="256" t="s">
        <v>114</v>
      </c>
      <c r="E19" s="257">
        <v>1</v>
      </c>
      <c r="F19" s="258">
        <v>2</v>
      </c>
      <c r="G19" s="458">
        <v>1</v>
      </c>
      <c r="H19" s="459">
        <v>1</v>
      </c>
      <c r="I19" s="261"/>
      <c r="J19" s="262">
        <v>4</v>
      </c>
      <c r="K19" s="257" t="s">
        <v>109</v>
      </c>
      <c r="L19" s="258"/>
      <c r="M19" s="259"/>
      <c r="N19" s="260"/>
      <c r="O19" s="261"/>
      <c r="P19" s="262"/>
      <c r="Q19" s="257"/>
      <c r="R19" s="477">
        <f t="shared" si="0"/>
        <v>44</v>
      </c>
    </row>
    <row r="20" spans="1:18" x14ac:dyDescent="0.25">
      <c r="A20" s="460" t="s">
        <v>260</v>
      </c>
      <c r="B20" s="467" t="s">
        <v>261</v>
      </c>
      <c r="C20" s="450" t="s">
        <v>115</v>
      </c>
      <c r="D20" s="468" t="s">
        <v>114</v>
      </c>
      <c r="E20" s="469">
        <v>0</v>
      </c>
      <c r="F20" s="470">
        <v>2</v>
      </c>
      <c r="G20" s="458"/>
      <c r="H20" s="459">
        <v>2</v>
      </c>
      <c r="I20" s="471"/>
      <c r="J20" s="472">
        <v>4</v>
      </c>
      <c r="K20" s="469" t="s">
        <v>109</v>
      </c>
      <c r="L20" s="470"/>
      <c r="M20" s="458"/>
      <c r="N20" s="459"/>
      <c r="O20" s="471"/>
      <c r="P20" s="472"/>
      <c r="Q20" s="469"/>
      <c r="R20" s="477">
        <f t="shared" si="0"/>
        <v>44</v>
      </c>
    </row>
    <row r="21" spans="1:18" ht="16.899999999999999" customHeight="1" x14ac:dyDescent="0.25">
      <c r="A21" s="460" t="s">
        <v>260</v>
      </c>
      <c r="B21" s="467" t="s">
        <v>262</v>
      </c>
      <c r="C21" s="450" t="s">
        <v>115</v>
      </c>
      <c r="D21" s="468" t="s">
        <v>114</v>
      </c>
      <c r="E21" s="474">
        <v>0</v>
      </c>
      <c r="F21" s="470"/>
      <c r="G21" s="458"/>
      <c r="H21" s="459"/>
      <c r="I21" s="471">
        <v>1</v>
      </c>
      <c r="J21" s="472">
        <v>1</v>
      </c>
      <c r="K21" s="469" t="s">
        <v>174</v>
      </c>
      <c r="L21" s="470"/>
      <c r="M21" s="458"/>
      <c r="N21" s="459"/>
      <c r="O21" s="471"/>
      <c r="P21" s="472"/>
      <c r="Q21" s="469"/>
      <c r="R21" s="477">
        <f t="shared" si="0"/>
        <v>11</v>
      </c>
    </row>
    <row r="22" spans="1:18" x14ac:dyDescent="0.25">
      <c r="A22" s="460" t="s">
        <v>263</v>
      </c>
      <c r="B22" s="473" t="s">
        <v>264</v>
      </c>
      <c r="C22" s="429" t="s">
        <v>115</v>
      </c>
      <c r="D22" s="256" t="s">
        <v>114</v>
      </c>
      <c r="E22" s="257">
        <v>0</v>
      </c>
      <c r="F22" s="258">
        <v>2</v>
      </c>
      <c r="G22" s="458"/>
      <c r="H22" s="459">
        <v>1</v>
      </c>
      <c r="I22" s="261">
        <v>1</v>
      </c>
      <c r="J22" s="262">
        <v>5</v>
      </c>
      <c r="K22" s="257" t="s">
        <v>109</v>
      </c>
      <c r="L22" s="258"/>
      <c r="M22" s="259"/>
      <c r="N22" s="260"/>
      <c r="O22" s="261"/>
      <c r="P22" s="262"/>
      <c r="Q22" s="257"/>
      <c r="R22" s="477">
        <f t="shared" si="0"/>
        <v>69</v>
      </c>
    </row>
    <row r="23" spans="1:18" x14ac:dyDescent="0.25">
      <c r="A23" s="460" t="s">
        <v>265</v>
      </c>
      <c r="B23" s="473" t="s">
        <v>266</v>
      </c>
      <c r="C23" s="429" t="s">
        <v>115</v>
      </c>
      <c r="D23" s="256" t="s">
        <v>114</v>
      </c>
      <c r="E23" s="257">
        <v>0</v>
      </c>
      <c r="F23" s="258">
        <v>2</v>
      </c>
      <c r="G23" s="458"/>
      <c r="H23" s="459">
        <v>1</v>
      </c>
      <c r="I23" s="261"/>
      <c r="J23" s="262">
        <v>4</v>
      </c>
      <c r="K23" s="257" t="s">
        <v>110</v>
      </c>
      <c r="L23" s="258"/>
      <c r="M23" s="259"/>
      <c r="N23" s="260"/>
      <c r="O23" s="261"/>
      <c r="P23" s="262"/>
      <c r="Q23" s="257"/>
      <c r="R23" s="477">
        <f t="shared" si="0"/>
        <v>58</v>
      </c>
    </row>
    <row r="24" spans="1:18" x14ac:dyDescent="0.25">
      <c r="A24" s="460" t="s">
        <v>267</v>
      </c>
      <c r="B24" s="473" t="s">
        <v>268</v>
      </c>
      <c r="C24" s="429" t="s">
        <v>115</v>
      </c>
      <c r="D24" s="256" t="s">
        <v>114</v>
      </c>
      <c r="E24" s="257">
        <v>0</v>
      </c>
      <c r="F24" s="258">
        <v>2</v>
      </c>
      <c r="G24" s="458">
        <v>1</v>
      </c>
      <c r="H24" s="459">
        <v>1</v>
      </c>
      <c r="I24" s="261"/>
      <c r="J24" s="262">
        <v>4</v>
      </c>
      <c r="K24" s="257" t="s">
        <v>109</v>
      </c>
      <c r="L24" s="258"/>
      <c r="M24" s="259"/>
      <c r="N24" s="260"/>
      <c r="O24" s="261"/>
      <c r="P24" s="262"/>
      <c r="Q24" s="257"/>
      <c r="R24" s="477">
        <f t="shared" si="0"/>
        <v>44</v>
      </c>
    </row>
    <row r="25" spans="1:18" ht="28.5" x14ac:dyDescent="0.25">
      <c r="A25" s="508" t="s">
        <v>306</v>
      </c>
      <c r="B25" s="467" t="s">
        <v>269</v>
      </c>
      <c r="C25" s="450" t="s">
        <v>111</v>
      </c>
      <c r="D25" s="468" t="s">
        <v>108</v>
      </c>
      <c r="E25" s="469">
        <v>1</v>
      </c>
      <c r="F25" s="470"/>
      <c r="G25" s="458"/>
      <c r="H25" s="459"/>
      <c r="I25" s="471"/>
      <c r="J25" s="472"/>
      <c r="K25" s="469"/>
      <c r="L25" s="470">
        <v>2</v>
      </c>
      <c r="M25" s="458"/>
      <c r="N25" s="459">
        <v>1</v>
      </c>
      <c r="O25" s="471"/>
      <c r="P25" s="472">
        <v>3</v>
      </c>
      <c r="Q25" s="469" t="s">
        <v>109</v>
      </c>
      <c r="R25" s="506">
        <f>25*P25-14*SUM(L25,M25,N25,O25)</f>
        <v>33</v>
      </c>
    </row>
    <row r="26" spans="1:18" x14ac:dyDescent="0.25">
      <c r="A26" s="460" t="s">
        <v>270</v>
      </c>
      <c r="B26" s="473" t="s">
        <v>271</v>
      </c>
      <c r="C26" s="429" t="s">
        <v>115</v>
      </c>
      <c r="D26" s="256" t="s">
        <v>108</v>
      </c>
      <c r="E26" s="257">
        <v>1</v>
      </c>
      <c r="F26" s="258"/>
      <c r="G26" s="259"/>
      <c r="H26" s="260"/>
      <c r="I26" s="261"/>
      <c r="J26" s="262"/>
      <c r="K26" s="257"/>
      <c r="L26" s="258">
        <v>2</v>
      </c>
      <c r="M26" s="458"/>
      <c r="N26" s="459">
        <v>1</v>
      </c>
      <c r="O26" s="261"/>
      <c r="P26" s="262">
        <v>3</v>
      </c>
      <c r="Q26" s="257" t="s">
        <v>110</v>
      </c>
      <c r="R26" s="477">
        <f t="shared" ref="R26:R34" si="1">25*P26-14*SUM(L26,M26,N26,O26)</f>
        <v>33</v>
      </c>
    </row>
    <row r="27" spans="1:18" x14ac:dyDescent="0.25">
      <c r="A27" s="460" t="s">
        <v>272</v>
      </c>
      <c r="B27" s="473" t="s">
        <v>273</v>
      </c>
      <c r="C27" s="429" t="s">
        <v>115</v>
      </c>
      <c r="D27" s="256" t="s">
        <v>108</v>
      </c>
      <c r="E27" s="257">
        <v>1</v>
      </c>
      <c r="F27" s="258"/>
      <c r="G27" s="259"/>
      <c r="H27" s="260"/>
      <c r="I27" s="261"/>
      <c r="J27" s="262"/>
      <c r="K27" s="257"/>
      <c r="L27" s="258"/>
      <c r="M27" s="458"/>
      <c r="N27" s="459"/>
      <c r="O27" s="261">
        <v>6</v>
      </c>
      <c r="P27" s="262">
        <v>4</v>
      </c>
      <c r="Q27" s="257" t="s">
        <v>110</v>
      </c>
      <c r="R27" s="477">
        <f t="shared" si="1"/>
        <v>16</v>
      </c>
    </row>
    <row r="28" spans="1:18" x14ac:dyDescent="0.25">
      <c r="A28" s="460" t="s">
        <v>274</v>
      </c>
      <c r="B28" s="473" t="s">
        <v>275</v>
      </c>
      <c r="C28" s="429" t="s">
        <v>115</v>
      </c>
      <c r="D28" s="256" t="s">
        <v>108</v>
      </c>
      <c r="E28" s="257">
        <v>2</v>
      </c>
      <c r="F28" s="258"/>
      <c r="G28" s="259"/>
      <c r="H28" s="260"/>
      <c r="I28" s="261"/>
      <c r="J28" s="262"/>
      <c r="K28" s="257"/>
      <c r="L28" s="258"/>
      <c r="M28" s="458"/>
      <c r="N28" s="459"/>
      <c r="O28" s="261">
        <v>6</v>
      </c>
      <c r="P28" s="262">
        <v>10</v>
      </c>
      <c r="Q28" s="257" t="s">
        <v>110</v>
      </c>
      <c r="R28" s="477">
        <f t="shared" si="1"/>
        <v>166</v>
      </c>
    </row>
    <row r="29" spans="1:18" x14ac:dyDescent="0.25">
      <c r="A29" s="460" t="s">
        <v>276</v>
      </c>
      <c r="B29" s="473" t="s">
        <v>277</v>
      </c>
      <c r="C29" s="429" t="s">
        <v>115</v>
      </c>
      <c r="D29" s="256" t="s">
        <v>114</v>
      </c>
      <c r="E29" s="257">
        <v>1</v>
      </c>
      <c r="F29" s="258"/>
      <c r="G29" s="259"/>
      <c r="H29" s="260"/>
      <c r="I29" s="261"/>
      <c r="J29" s="262"/>
      <c r="K29" s="257"/>
      <c r="L29" s="258">
        <v>2</v>
      </c>
      <c r="M29" s="458"/>
      <c r="N29" s="459">
        <v>1</v>
      </c>
      <c r="O29" s="261"/>
      <c r="P29" s="262">
        <v>2</v>
      </c>
      <c r="Q29" s="257" t="s">
        <v>110</v>
      </c>
      <c r="R29" s="477">
        <f t="shared" si="1"/>
        <v>8</v>
      </c>
    </row>
    <row r="30" spans="1:18" x14ac:dyDescent="0.25">
      <c r="A30" s="460" t="s">
        <v>278</v>
      </c>
      <c r="B30" s="473" t="s">
        <v>279</v>
      </c>
      <c r="C30" s="429" t="s">
        <v>115</v>
      </c>
      <c r="D30" s="256" t="s">
        <v>114</v>
      </c>
      <c r="E30" s="257">
        <v>1</v>
      </c>
      <c r="F30" s="258"/>
      <c r="G30" s="259"/>
      <c r="H30" s="260"/>
      <c r="I30" s="261"/>
      <c r="J30" s="262"/>
      <c r="K30" s="257"/>
      <c r="L30" s="258">
        <v>3</v>
      </c>
      <c r="M30" s="458"/>
      <c r="N30" s="459">
        <v>1</v>
      </c>
      <c r="O30" s="261"/>
      <c r="P30" s="262">
        <v>3</v>
      </c>
      <c r="Q30" s="257" t="s">
        <v>109</v>
      </c>
      <c r="R30" s="477">
        <f t="shared" si="1"/>
        <v>19</v>
      </c>
    </row>
    <row r="31" spans="1:18" x14ac:dyDescent="0.25">
      <c r="A31" s="460" t="s">
        <v>280</v>
      </c>
      <c r="B31" s="473" t="s">
        <v>281</v>
      </c>
      <c r="C31" s="429" t="s">
        <v>115</v>
      </c>
      <c r="D31" s="256" t="s">
        <v>114</v>
      </c>
      <c r="E31" s="257">
        <v>1</v>
      </c>
      <c r="F31" s="258"/>
      <c r="G31" s="259"/>
      <c r="H31" s="260"/>
      <c r="I31" s="261"/>
      <c r="J31" s="262"/>
      <c r="K31" s="257"/>
      <c r="L31" s="258">
        <v>2</v>
      </c>
      <c r="M31" s="458"/>
      <c r="N31" s="459">
        <v>2</v>
      </c>
      <c r="O31" s="261"/>
      <c r="P31" s="262">
        <v>3</v>
      </c>
      <c r="Q31" s="257" t="s">
        <v>109</v>
      </c>
      <c r="R31" s="477">
        <f t="shared" si="1"/>
        <v>19</v>
      </c>
    </row>
    <row r="32" spans="1:18" x14ac:dyDescent="0.25">
      <c r="A32" s="460" t="s">
        <v>282</v>
      </c>
      <c r="B32" s="473" t="s">
        <v>283</v>
      </c>
      <c r="C32" s="429" t="s">
        <v>115</v>
      </c>
      <c r="D32" s="256" t="s">
        <v>114</v>
      </c>
      <c r="E32" s="257">
        <v>0</v>
      </c>
      <c r="F32" s="258"/>
      <c r="G32" s="259"/>
      <c r="H32" s="260"/>
      <c r="I32" s="261"/>
      <c r="J32" s="262"/>
      <c r="K32" s="257"/>
      <c r="L32" s="258">
        <v>3</v>
      </c>
      <c r="M32" s="458"/>
      <c r="N32" s="459">
        <v>1</v>
      </c>
      <c r="O32" s="261"/>
      <c r="P32" s="262">
        <v>3</v>
      </c>
      <c r="Q32" s="257" t="s">
        <v>110</v>
      </c>
      <c r="R32" s="477">
        <f t="shared" si="1"/>
        <v>19</v>
      </c>
    </row>
    <row r="33" spans="1:18" x14ac:dyDescent="0.25">
      <c r="A33" s="460" t="s">
        <v>284</v>
      </c>
      <c r="B33" s="473" t="s">
        <v>285</v>
      </c>
      <c r="C33" s="429" t="s">
        <v>115</v>
      </c>
      <c r="D33" s="256" t="s">
        <v>114</v>
      </c>
      <c r="E33" s="257">
        <v>0</v>
      </c>
      <c r="F33" s="258"/>
      <c r="G33" s="259"/>
      <c r="H33" s="260"/>
      <c r="I33" s="261"/>
      <c r="J33" s="262"/>
      <c r="K33" s="257"/>
      <c r="L33" s="258">
        <v>2</v>
      </c>
      <c r="M33" s="458"/>
      <c r="N33" s="459">
        <v>1</v>
      </c>
      <c r="O33" s="261"/>
      <c r="P33" s="262">
        <v>2</v>
      </c>
      <c r="Q33" s="257" t="s">
        <v>109</v>
      </c>
      <c r="R33" s="477">
        <f t="shared" si="1"/>
        <v>8</v>
      </c>
    </row>
    <row r="34" spans="1:18" x14ac:dyDescent="0.25">
      <c r="A34" s="460" t="s">
        <v>286</v>
      </c>
      <c r="B34" s="473" t="s">
        <v>287</v>
      </c>
      <c r="C34" s="429" t="s">
        <v>115</v>
      </c>
      <c r="D34" s="256" t="s">
        <v>114</v>
      </c>
      <c r="E34" s="257">
        <v>0</v>
      </c>
      <c r="F34" s="258"/>
      <c r="G34" s="259"/>
      <c r="H34" s="260"/>
      <c r="I34" s="261"/>
      <c r="J34" s="262"/>
      <c r="K34" s="257"/>
      <c r="L34" s="258">
        <v>2</v>
      </c>
      <c r="M34" s="458"/>
      <c r="N34" s="459">
        <v>2</v>
      </c>
      <c r="O34" s="261"/>
      <c r="P34" s="262">
        <v>3</v>
      </c>
      <c r="Q34" s="257" t="s">
        <v>109</v>
      </c>
      <c r="R34" s="477">
        <f t="shared" si="1"/>
        <v>19</v>
      </c>
    </row>
    <row r="35" spans="1:18" x14ac:dyDescent="0.25">
      <c r="A35" s="509" t="s">
        <v>309</v>
      </c>
      <c r="B35" s="487" t="s">
        <v>290</v>
      </c>
      <c r="C35" s="450" t="s">
        <v>115</v>
      </c>
      <c r="D35" s="468" t="s">
        <v>114</v>
      </c>
      <c r="E35" s="486">
        <v>1</v>
      </c>
      <c r="F35" s="510"/>
      <c r="G35" s="511"/>
      <c r="H35" s="512"/>
      <c r="I35" s="513"/>
      <c r="J35" s="514"/>
      <c r="K35" s="486"/>
      <c r="L35" s="510"/>
      <c r="M35" s="511"/>
      <c r="N35" s="512"/>
      <c r="O35" s="513">
        <v>3</v>
      </c>
      <c r="P35" s="514">
        <v>2</v>
      </c>
      <c r="Q35" s="486" t="s">
        <v>110</v>
      </c>
      <c r="R35" s="506">
        <f>25*P35-14*SUM(L35,M35,N35,O35)</f>
        <v>8</v>
      </c>
    </row>
    <row r="36" spans="1:18" ht="15.75" thickBot="1" x14ac:dyDescent="0.3">
      <c r="A36" s="5"/>
      <c r="B36" s="6"/>
      <c r="C36" s="7"/>
      <c r="D36" s="7"/>
      <c r="E36" s="8"/>
      <c r="F36" s="9"/>
      <c r="G36" s="10"/>
      <c r="H36" s="11"/>
      <c r="I36" s="12"/>
      <c r="J36" s="13"/>
      <c r="K36" s="8"/>
      <c r="L36" s="9"/>
      <c r="M36" s="10"/>
      <c r="N36" s="11"/>
      <c r="O36" s="12"/>
      <c r="P36" s="13"/>
      <c r="Q36" s="8"/>
      <c r="R36" s="331"/>
    </row>
    <row r="37" spans="1:18" ht="15.75" thickBot="1" x14ac:dyDescent="0.3">
      <c r="A37" s="58" t="s">
        <v>23</v>
      </c>
      <c r="B37" s="59"/>
      <c r="C37" s="59"/>
      <c r="D37" s="59"/>
      <c r="E37" s="60"/>
      <c r="F37" s="61">
        <f>SUMIFS(F12:F36,$E12:$E36,"=1")</f>
        <v>14</v>
      </c>
      <c r="G37" s="62">
        <f>SUMIFS(G12:G36,$E12:$E36,"=1")</f>
        <v>2</v>
      </c>
      <c r="H37" s="63">
        <f>SUMIFS(H12:H36,$E12:$E36,"=1")</f>
        <v>8</v>
      </c>
      <c r="I37" s="64">
        <f>SUMIFS(I12:I36,$E12:$E36,"=1")</f>
        <v>3</v>
      </c>
      <c r="J37" s="65">
        <f>SUMIFS(J12:J36,$E12:$E36,"=1")+SUMIFS(J12:J36,$D12:$D36,"=DI",$E12:$E36,"=2")</f>
        <v>30</v>
      </c>
      <c r="K37" s="60"/>
      <c r="L37" s="61">
        <f>SUMIFS(L12:L36,$E12:$E36,"=1")</f>
        <v>11</v>
      </c>
      <c r="M37" s="62">
        <f>SUMIFS(M12:M36,$E12:$E36,"=1")</f>
        <v>0</v>
      </c>
      <c r="N37" s="63">
        <f>SUMIFS(N12:N36,$E12:$E36,"=1")</f>
        <v>6</v>
      </c>
      <c r="O37" s="64">
        <f>SUMIFS(O12:O36,$E12:$E36,"=1")</f>
        <v>9</v>
      </c>
      <c r="P37" s="65">
        <f>SUMIFS(P12:P36,$E12:$E36,"=1")+SUMIFS(P12:P36,$D12:$D36,"=DI",$E12:$E36,"=2")</f>
        <v>30</v>
      </c>
      <c r="Q37" s="60"/>
      <c r="R37" s="407"/>
    </row>
    <row r="38" spans="1:18" ht="15.75" thickBot="1" x14ac:dyDescent="0.3">
      <c r="A38" s="66"/>
      <c r="B38" s="20"/>
      <c r="C38" s="20"/>
      <c r="D38" s="20"/>
      <c r="E38" s="20"/>
      <c r="F38" s="20"/>
      <c r="G38" s="20"/>
      <c r="H38" s="20"/>
      <c r="I38" s="20"/>
      <c r="J38" s="20"/>
      <c r="K38" s="20"/>
      <c r="L38" s="20"/>
      <c r="M38" s="20"/>
      <c r="N38" s="20"/>
      <c r="O38" s="20"/>
      <c r="P38" s="20"/>
      <c r="Q38" s="20"/>
      <c r="R38" s="420"/>
    </row>
    <row r="39" spans="1:18" ht="15.75" thickBot="1" x14ac:dyDescent="0.3">
      <c r="A39" s="545" t="s">
        <v>40</v>
      </c>
      <c r="B39" s="546"/>
      <c r="C39" s="67"/>
      <c r="D39" s="67"/>
      <c r="E39" s="67"/>
      <c r="F39" s="68"/>
      <c r="G39" s="69"/>
      <c r="H39" s="70"/>
      <c r="I39" s="71"/>
      <c r="J39" s="72"/>
      <c r="K39" s="67"/>
      <c r="L39" s="68"/>
      <c r="M39" s="69"/>
      <c r="N39" s="70"/>
      <c r="O39" s="71"/>
      <c r="P39" s="72"/>
      <c r="Q39" s="67"/>
      <c r="R39" s="409"/>
    </row>
    <row r="40" spans="1:18" ht="15" customHeight="1" x14ac:dyDescent="0.25">
      <c r="A40" s="475" t="s">
        <v>288</v>
      </c>
      <c r="B40" s="264" t="s">
        <v>289</v>
      </c>
      <c r="C40" s="256" t="s">
        <v>112</v>
      </c>
      <c r="D40" s="256" t="s">
        <v>162</v>
      </c>
      <c r="E40" s="257">
        <v>0</v>
      </c>
      <c r="F40" s="258">
        <v>2</v>
      </c>
      <c r="G40" s="259"/>
      <c r="H40" s="260">
        <v>2</v>
      </c>
      <c r="I40" s="261"/>
      <c r="J40" s="262">
        <v>4</v>
      </c>
      <c r="K40" s="257" t="s">
        <v>110</v>
      </c>
      <c r="L40" s="258"/>
      <c r="M40" s="117"/>
      <c r="N40" s="118"/>
      <c r="O40" s="119"/>
      <c r="P40" s="13"/>
      <c r="Q40" s="8"/>
      <c r="R40" s="331"/>
    </row>
    <row r="41" spans="1:18" ht="15" customHeight="1" x14ac:dyDescent="0.25">
      <c r="A41" s="515" t="s">
        <v>307</v>
      </c>
      <c r="B41" s="438" t="s">
        <v>312</v>
      </c>
      <c r="C41" s="516" t="s">
        <v>112</v>
      </c>
      <c r="D41" s="516" t="s">
        <v>162</v>
      </c>
      <c r="E41" s="517">
        <v>2</v>
      </c>
      <c r="F41" s="518">
        <v>1</v>
      </c>
      <c r="G41" s="494">
        <v>1</v>
      </c>
      <c r="H41" s="519"/>
      <c r="I41" s="520"/>
      <c r="J41" s="521">
        <v>2</v>
      </c>
      <c r="K41" s="517" t="s">
        <v>110</v>
      </c>
      <c r="L41" s="250"/>
      <c r="M41" s="251"/>
      <c r="N41" s="305"/>
      <c r="O41" s="253"/>
      <c r="P41" s="292"/>
      <c r="Q41" s="288"/>
      <c r="R41" s="331"/>
    </row>
    <row r="42" spans="1:18" ht="15" customHeight="1" x14ac:dyDescent="0.25">
      <c r="A42" s="76"/>
      <c r="B42" s="77"/>
      <c r="C42" s="248"/>
      <c r="D42" s="299"/>
      <c r="E42" s="79"/>
      <c r="F42" s="9"/>
      <c r="G42" s="117"/>
      <c r="H42" s="118"/>
      <c r="I42" s="119"/>
      <c r="J42" s="13"/>
      <c r="K42" s="8"/>
      <c r="L42" s="9"/>
      <c r="M42" s="117"/>
      <c r="N42" s="118"/>
      <c r="O42" s="119"/>
      <c r="P42" s="13"/>
      <c r="Q42" s="8"/>
      <c r="R42" s="418"/>
    </row>
    <row r="43" spans="1:18" ht="15" customHeight="1" x14ac:dyDescent="0.25">
      <c r="A43" s="76"/>
      <c r="B43" s="77"/>
      <c r="C43" s="78"/>
      <c r="D43" s="299"/>
      <c r="E43" s="79"/>
      <c r="F43" s="15"/>
      <c r="G43" s="149"/>
      <c r="H43" s="150"/>
      <c r="I43" s="151"/>
      <c r="J43" s="19"/>
      <c r="K43" s="14"/>
      <c r="L43" s="15"/>
      <c r="M43" s="149"/>
      <c r="N43" s="150"/>
      <c r="O43" s="151"/>
      <c r="P43" s="13"/>
      <c r="Q43" s="8"/>
      <c r="R43" s="418"/>
    </row>
    <row r="44" spans="1:18" ht="15" customHeight="1" x14ac:dyDescent="0.25">
      <c r="A44" s="5"/>
      <c r="B44" s="6"/>
      <c r="C44" s="7"/>
      <c r="D44" s="7"/>
      <c r="E44" s="8"/>
      <c r="F44" s="9"/>
      <c r="G44" s="117"/>
      <c r="H44" s="118"/>
      <c r="I44" s="119"/>
      <c r="J44" s="13"/>
      <c r="K44" s="8"/>
      <c r="L44" s="9"/>
      <c r="M44" s="117"/>
      <c r="N44" s="118"/>
      <c r="O44" s="119"/>
      <c r="P44" s="13"/>
      <c r="Q44" s="8"/>
      <c r="R44" s="418"/>
    </row>
    <row r="45" spans="1:18" ht="15" customHeight="1" x14ac:dyDescent="0.25">
      <c r="A45" s="152"/>
      <c r="B45" s="77"/>
      <c r="C45" s="78"/>
      <c r="D45" s="78"/>
      <c r="E45" s="79"/>
      <c r="F45" s="101"/>
      <c r="G45" s="102"/>
      <c r="H45" s="103"/>
      <c r="I45" s="104"/>
      <c r="J45" s="153"/>
      <c r="K45" s="79"/>
      <c r="L45" s="101"/>
      <c r="M45" s="102"/>
      <c r="N45" s="103"/>
      <c r="O45" s="104"/>
      <c r="P45" s="153"/>
      <c r="Q45" s="79"/>
      <c r="R45" s="421"/>
    </row>
    <row r="46" spans="1:18" ht="15" customHeight="1" x14ac:dyDescent="0.25">
      <c r="A46" s="152"/>
      <c r="B46" s="77"/>
      <c r="C46" s="78"/>
      <c r="D46" s="78"/>
      <c r="E46" s="79"/>
      <c r="F46" s="101"/>
      <c r="G46" s="102"/>
      <c r="H46" s="103"/>
      <c r="I46" s="104"/>
      <c r="J46" s="153"/>
      <c r="K46" s="79"/>
      <c r="L46" s="101"/>
      <c r="M46" s="102"/>
      <c r="N46" s="103"/>
      <c r="O46" s="104"/>
      <c r="P46" s="153"/>
      <c r="Q46" s="79"/>
      <c r="R46" s="421"/>
    </row>
    <row r="47" spans="1:18" ht="15" customHeight="1" x14ac:dyDescent="0.25">
      <c r="A47" s="152"/>
      <c r="B47" s="77"/>
      <c r="C47" s="78"/>
      <c r="D47" s="78"/>
      <c r="E47" s="79"/>
      <c r="F47" s="101"/>
      <c r="G47" s="102"/>
      <c r="H47" s="103"/>
      <c r="I47" s="104"/>
      <c r="J47" s="153"/>
      <c r="K47" s="79"/>
      <c r="L47" s="101"/>
      <c r="M47" s="102"/>
      <c r="N47" s="103"/>
      <c r="O47" s="104"/>
      <c r="P47" s="153"/>
      <c r="Q47" s="79"/>
      <c r="R47" s="421"/>
    </row>
    <row r="48" spans="1:18" ht="15" customHeight="1" x14ac:dyDescent="0.25">
      <c r="A48" s="152"/>
      <c r="B48" s="77"/>
      <c r="C48" s="78"/>
      <c r="D48" s="78"/>
      <c r="E48" s="79"/>
      <c r="F48" s="101"/>
      <c r="G48" s="102"/>
      <c r="H48" s="103"/>
      <c r="I48" s="104"/>
      <c r="J48" s="153"/>
      <c r="K48" s="79"/>
      <c r="L48" s="101"/>
      <c r="M48" s="102"/>
      <c r="N48" s="103"/>
      <c r="O48" s="104"/>
      <c r="P48" s="153"/>
      <c r="Q48" s="79"/>
      <c r="R48" s="421"/>
    </row>
    <row r="49" spans="1:19" ht="15" customHeight="1" thickBot="1" x14ac:dyDescent="0.3">
      <c r="A49" s="154"/>
      <c r="B49" s="155"/>
      <c r="C49" s="156"/>
      <c r="D49" s="156"/>
      <c r="E49" s="157"/>
      <c r="F49" s="158"/>
      <c r="G49" s="159"/>
      <c r="H49" s="160"/>
      <c r="I49" s="161"/>
      <c r="J49" s="162"/>
      <c r="K49" s="157"/>
      <c r="L49" s="158"/>
      <c r="M49" s="159"/>
      <c r="N49" s="160"/>
      <c r="O49" s="161"/>
      <c r="P49" s="162"/>
      <c r="Q49" s="157"/>
      <c r="R49" s="422"/>
    </row>
    <row r="50" spans="1:19" ht="14.25" customHeight="1" thickBot="1" x14ac:dyDescent="0.3">
      <c r="A50" s="84" t="s">
        <v>23</v>
      </c>
      <c r="B50" s="85"/>
      <c r="C50" s="85"/>
      <c r="D50" s="85"/>
      <c r="E50" s="86"/>
      <c r="F50" s="87">
        <f>SUMIFS(F40:F49,$D40:$D49,"=DFac")</f>
        <v>3</v>
      </c>
      <c r="G50" s="88">
        <f>SUMIFS(G40:G49,$D40:$D49,"=DFac")</f>
        <v>1</v>
      </c>
      <c r="H50" s="89">
        <f>SUMIFS(H40:H49,$D40:$D49,"=DFac")</f>
        <v>2</v>
      </c>
      <c r="I50" s="90">
        <f>SUMIFS(I40:I49,$D40:$D49,"=DFac")</f>
        <v>0</v>
      </c>
      <c r="J50" s="91">
        <f>SUMIFS(J40:J49,$D40:$D49,"=DFac")</f>
        <v>6</v>
      </c>
      <c r="K50" s="92"/>
      <c r="L50" s="87">
        <f>SUMIFS(L40:L49,$D40:$D49,"=DFac")</f>
        <v>0</v>
      </c>
      <c r="M50" s="88">
        <f>SUMIFS(M40:M49,$D40:$D49,"=DFac")</f>
        <v>0</v>
      </c>
      <c r="N50" s="89">
        <f>SUMIFS(N40:N49,$D40:$D49,"=DFac")</f>
        <v>0</v>
      </c>
      <c r="O50" s="90">
        <f>SUMIFS(O40:O49,$D40:$D49,"=DFac")</f>
        <v>0</v>
      </c>
      <c r="P50" s="91">
        <f>SUMIFS(P40:P49,$D40:$D49,"=DFac")</f>
        <v>0</v>
      </c>
      <c r="Q50" s="93"/>
      <c r="R50" s="416"/>
    </row>
    <row r="51" spans="1:19" ht="15" customHeight="1" x14ac:dyDescent="0.25">
      <c r="A51" s="233"/>
      <c r="B51" s="234"/>
      <c r="C51" s="234"/>
      <c r="D51" s="234"/>
      <c r="E51" s="234"/>
      <c r="F51" s="235"/>
      <c r="G51" s="236"/>
      <c r="H51" s="237"/>
      <c r="I51" s="238"/>
      <c r="J51" s="239"/>
      <c r="K51" s="234"/>
      <c r="L51" s="235"/>
      <c r="M51" s="236"/>
      <c r="N51" s="237"/>
      <c r="O51" s="238"/>
      <c r="P51" s="239"/>
      <c r="Q51" s="234"/>
    </row>
    <row r="52" spans="1:19" ht="15" customHeight="1" x14ac:dyDescent="0.25">
      <c r="A52" s="423"/>
      <c r="B52" s="247"/>
      <c r="C52" s="248"/>
      <c r="D52" s="248"/>
      <c r="E52" s="249"/>
      <c r="F52" s="250"/>
      <c r="G52" s="251"/>
      <c r="H52" s="252"/>
      <c r="I52" s="253"/>
      <c r="J52" s="254"/>
      <c r="K52" s="249"/>
      <c r="L52" s="250"/>
      <c r="M52" s="251"/>
      <c r="N52" s="252"/>
      <c r="O52" s="253"/>
      <c r="P52" s="254"/>
      <c r="Q52" s="249"/>
      <c r="R52" s="424"/>
    </row>
    <row r="53" spans="1:19" ht="15" customHeight="1" x14ac:dyDescent="0.25">
      <c r="A53" s="547"/>
      <c r="B53" s="548"/>
      <c r="C53" s="548"/>
      <c r="D53" s="548"/>
      <c r="E53" s="548"/>
      <c r="F53" s="548"/>
      <c r="G53" s="548"/>
      <c r="H53" s="548"/>
      <c r="I53" s="548"/>
      <c r="J53" s="548"/>
      <c r="K53" s="548"/>
      <c r="L53" s="548"/>
      <c r="M53" s="548"/>
      <c r="N53" s="548"/>
      <c r="O53" s="548"/>
      <c r="P53" s="548"/>
      <c r="Q53" s="548"/>
    </row>
    <row r="54" spans="1:19" ht="15" customHeight="1" x14ac:dyDescent="0.25"/>
    <row r="55" spans="1:19" ht="15" customHeight="1" x14ac:dyDescent="0.25"/>
    <row r="56" spans="1:19" ht="15" customHeight="1" x14ac:dyDescent="0.25">
      <c r="A56" s="534" t="s">
        <v>54</v>
      </c>
      <c r="B56" s="534"/>
      <c r="C56" s="534"/>
      <c r="D56" s="534"/>
      <c r="E56" s="534"/>
      <c r="F56" s="534"/>
      <c r="G56" s="534"/>
      <c r="H56" s="534"/>
      <c r="I56" s="534"/>
      <c r="J56" s="534"/>
      <c r="K56" s="534"/>
      <c r="L56" s="534"/>
      <c r="M56" s="534"/>
      <c r="N56" s="534"/>
      <c r="O56" s="534"/>
      <c r="P56" s="534"/>
      <c r="Q56" s="534"/>
    </row>
    <row r="57" spans="1:19" ht="78" customHeight="1" x14ac:dyDescent="0.25">
      <c r="A57" s="532" t="s">
        <v>55</v>
      </c>
      <c r="B57" s="532"/>
      <c r="C57" s="532"/>
      <c r="D57" s="532"/>
      <c r="E57" s="532"/>
      <c r="F57" s="532"/>
      <c r="G57" s="532"/>
      <c r="H57" s="532"/>
      <c r="I57" s="532"/>
      <c r="J57" s="532"/>
      <c r="K57" s="532"/>
      <c r="L57" s="532"/>
      <c r="M57" s="532"/>
      <c r="N57" s="532"/>
      <c r="O57" s="532"/>
      <c r="P57" s="532"/>
      <c r="Q57" s="532"/>
      <c r="R57" s="532"/>
    </row>
    <row r="58" spans="1:19" ht="58.5" customHeight="1" x14ac:dyDescent="0.25">
      <c r="A58" s="107" t="s">
        <v>56</v>
      </c>
      <c r="B58" s="359"/>
      <c r="C58" s="359"/>
      <c r="D58" s="359"/>
      <c r="E58" s="359"/>
      <c r="K58" s="359"/>
      <c r="Q58" s="359"/>
    </row>
    <row r="59" spans="1:19" ht="15" customHeight="1" x14ac:dyDescent="0.25"/>
    <row r="60" spans="1:19" ht="15" customHeight="1" x14ac:dyDescent="0.25"/>
    <row r="61" spans="1:19" ht="15" customHeight="1" x14ac:dyDescent="0.25"/>
    <row r="62" spans="1:19" ht="15" customHeight="1" x14ac:dyDescent="0.25"/>
    <row r="63" spans="1:19" ht="15" customHeight="1" x14ac:dyDescent="0.25"/>
    <row r="64" spans="1:19" s="75" customFormat="1" ht="15" customHeight="1" x14ac:dyDescent="0.25">
      <c r="A64" s="3"/>
      <c r="B64" s="22"/>
      <c r="C64" s="22"/>
      <c r="D64" s="22"/>
      <c r="E64" s="22"/>
      <c r="F64" s="23"/>
      <c r="G64" s="24"/>
      <c r="H64" s="25"/>
      <c r="I64" s="26"/>
      <c r="J64" s="27"/>
      <c r="K64" s="22"/>
      <c r="L64" s="23"/>
      <c r="M64" s="24"/>
      <c r="N64" s="25"/>
      <c r="O64" s="26"/>
      <c r="P64" s="27"/>
      <c r="Q64" s="22"/>
      <c r="R64" s="411"/>
      <c r="S64" s="74"/>
    </row>
    <row r="65" spans="6:18" ht="15" customHeight="1" x14ac:dyDescent="0.25"/>
    <row r="66" spans="6:18" ht="15" customHeight="1" x14ac:dyDescent="0.25"/>
    <row r="67" spans="6:18" ht="15.75" thickBot="1" x14ac:dyDescent="0.3">
      <c r="F67" s="137"/>
      <c r="G67" s="138"/>
      <c r="H67" s="139"/>
      <c r="I67" s="140"/>
      <c r="J67" s="141"/>
      <c r="K67" s="142"/>
      <c r="L67" s="137"/>
      <c r="M67" s="138"/>
      <c r="N67" s="139"/>
      <c r="O67" s="140"/>
    </row>
    <row r="68" spans="6:18" ht="15.75" thickBot="1" x14ac:dyDescent="0.3">
      <c r="F68" s="538">
        <f>SUMIFS(F12:F36,$E12:$E36,"=1")+SUMIFS(G12:G36,$E12:$E36,"=1")+SUMIFS(H12:H36,$E12:$E36,"=1")+SUMIFS(I12:I36,$E12:$E36,"=1")</f>
        <v>27</v>
      </c>
      <c r="G68" s="539"/>
      <c r="H68" s="539"/>
      <c r="I68" s="540"/>
      <c r="J68" s="141"/>
      <c r="K68" s="142"/>
      <c r="L68" s="538">
        <f>SUMIFS(L12:L36,$E12:$E36,"=1")+SUMIFS(M12:M36,$E12:$E36,"=1")+SUMIFS(N12:N36,$E12:$E36,"=1")+SUMIFS(O12:O36,$E12:$E36,"=1")</f>
        <v>26</v>
      </c>
      <c r="M68" s="539"/>
      <c r="N68" s="539"/>
      <c r="O68" s="540"/>
      <c r="R68" s="419">
        <f>SUMIF($E12:$E49,"=1",R12:R49)</f>
        <v>508</v>
      </c>
    </row>
    <row r="69" spans="6:18" x14ac:dyDescent="0.25">
      <c r="F69" s="137"/>
      <c r="G69" s="138"/>
      <c r="H69" s="139"/>
      <c r="I69" s="140"/>
      <c r="J69" s="537"/>
      <c r="K69" s="537"/>
      <c r="L69" s="137"/>
      <c r="M69" s="138"/>
      <c r="N69" s="139"/>
      <c r="O69" s="140"/>
    </row>
    <row r="70" spans="6:18" x14ac:dyDescent="0.25">
      <c r="F70" s="137"/>
      <c r="G70" s="138"/>
      <c r="H70" s="139"/>
      <c r="I70" s="140"/>
      <c r="J70" s="141"/>
      <c r="K70" s="142"/>
      <c r="L70" s="137"/>
      <c r="M70" s="138"/>
      <c r="N70" s="139"/>
      <c r="O70" s="140"/>
    </row>
  </sheetData>
  <mergeCells count="11">
    <mergeCell ref="A39:B39"/>
    <mergeCell ref="J69:K69"/>
    <mergeCell ref="F68:I68"/>
    <mergeCell ref="L68:O68"/>
    <mergeCell ref="L1:P1"/>
    <mergeCell ref="L2:P2"/>
    <mergeCell ref="G7:K7"/>
    <mergeCell ref="E9:M9"/>
    <mergeCell ref="A53:Q53"/>
    <mergeCell ref="A56:Q56"/>
    <mergeCell ref="A57:R57"/>
  </mergeCells>
  <phoneticPr fontId="2" type="noConversion"/>
  <conditionalFormatting sqref="J51">
    <cfRule type="cellIs" dxfId="1" priority="2" operator="greaterThan">
      <formula>30</formula>
    </cfRule>
  </conditionalFormatting>
  <conditionalFormatting sqref="P51">
    <cfRule type="cellIs" dxfId="0" priority="1" operator="greaterThan">
      <formula>30</formula>
    </cfRule>
  </conditionalFormatting>
  <pageMargins left="0.70866141732283472" right="0.70866141732283472" top="0.74803149606299213" bottom="0.74803149606299213" header="0.31496062992125984" footer="0.31496062992125984"/>
  <pageSetup paperSize="9" scale="67" orientation="portrait" horizontalDpi="300" verticalDpi="300" r:id="rId1"/>
  <headerFooter>
    <oddFooter xml:space="preserve">&amp;LRECTOR,
Prof. univ. dr. Cezar Ionuț SPÎNU&amp;CDECAN,
Prof. univ. dr. ing. Dan SELIȘTEANU&amp;RDIRECTOR DEPARTAMENT,
Prof. univ. dr. ing. Dorian COJOCARU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00"/>
  </sheetPr>
  <dimension ref="A1:Q106"/>
  <sheetViews>
    <sheetView view="pageBreakPreview" zoomScaleNormal="100" zoomScaleSheetLayoutView="100" workbookViewId="0">
      <selection activeCell="B7" sqref="B7"/>
    </sheetView>
  </sheetViews>
  <sheetFormatPr defaultColWidth="9.140625" defaultRowHeight="15" x14ac:dyDescent="0.25"/>
  <cols>
    <col min="1" max="1" width="22" style="163" customWidth="1"/>
    <col min="2" max="2" width="46.85546875" style="339" customWidth="1"/>
    <col min="3" max="3" width="10.7109375" style="347" bestFit="1" customWidth="1"/>
    <col min="4" max="4" width="9.7109375" style="1" bestFit="1" customWidth="1"/>
    <col min="5" max="6" width="9.85546875" style="1" customWidth="1"/>
    <col min="7" max="8" width="14.28515625" style="1" bestFit="1" customWidth="1"/>
    <col min="9" max="9" width="12.85546875" style="163" customWidth="1"/>
    <col min="10" max="10" width="9.140625" style="327"/>
    <col min="11" max="11" width="9.140625" style="163"/>
    <col min="12" max="12" width="9.140625" style="327"/>
    <col min="13" max="16384" width="9.140625" style="163"/>
  </cols>
  <sheetData>
    <row r="1" spans="1:12" ht="27" thickBot="1" x14ac:dyDescent="0.45">
      <c r="B1" s="338" t="s">
        <v>15</v>
      </c>
    </row>
    <row r="2" spans="1:12" ht="45.75" thickBot="1" x14ac:dyDescent="0.3">
      <c r="A2" s="164" t="s">
        <v>38</v>
      </c>
      <c r="B2" s="267">
        <f>IF(XXX_I!F7&lt;&gt;0,XXX_I!F7*SUMIFS(XXX_I!I12:I48,XXX_I!D12:D48,"=DI",XXX_I!E12:E48,"=2"),14*SUMIFS(XXX_I!I12:I48,XXX_I!D12:D48,"=DI",XXX_I!E12:E48,"=2"))+IF(XXX_I!L7&lt;&gt;0,XXX_I!L7*SUMIFS(XXX_I!O12:O48,XXX_I!D12:D48,"=DI",XXX_I!E12:E48,"=2"),14*SUMIFS(XXX_I!O12:O48,XXX_I!D12:D48,"=DI",XXX_I!E12:E48,"=2"))+IF(XXX_II!F7&lt;&gt;0,XXX_II!F7*SUMIFS(XXX_II!I12:I48,XXX_II!D12:D48,"=DI",XXX_II!E12:E48,"=2"),14*SUMIFS(XXX_II!I12:I48,XXX_II!D12:D48,"=DI",XXX_II!E12:E48,"=2"))+IF(XXX_II!L7&lt;&gt;0,XXX_II!L7*SUMIFS(XXX_II!O12:O48,XXX_II!D12:D48,"=DI",XXX_II!E12:E48,"=2"),14*SUMIFS(XXX_II!O12:O48,XXX_II!D12:D48,"=DI",XXX_II!E12:E48,"=2"))+IF(XXX_III!F7&lt;&gt;0,XXX_III!F7*SUMIFS(XXX_III!I12:I50,XXX_III!D12:D50,"=DI",XXX_III!E12:E50,"=2"),14*SUMIFS(XXX_III!I12:I50,XXX_III!D12:D50,"=DI",XXX_III!E12:E50,"=2"))+IF(XXX_III!L7&lt;&gt;0,XXX_III!L7*SUMIFS(XXX_III!O12:O50,XXX_III!D12:D50,"=DI",XXX_III!E12:E50,"=2"),14*SUMIFS(XXX_III!O12:O50,XXX_III!D12:D50,"=DI",XXX_III!E12:E50,"=2"))+IF(XXX_IV!F7&lt;&gt;0,XXX_IV!F7*SUMIFS(XXX_IV!I12:I49,XXX_IV!D12:D49,"=DI",XXX_IV!E12:E49,"=2"),14*SUMIFS(XXX_IV!I12:I49,XXX_IV!D12:D49,"=DI",XXX_IV!E12:E49,"=2"))+IF(XXX_IV!L7&lt;&gt;0,XXX_IV!L7*SUMIFS(XXX_IV!O12:O49,XXX_IV!D12:D49,"=DI",XXX_IV!E12:E49,"=2"),14*SUMIFS(XXX_IV!O12:O49,XXX_IV!D12:D49,"=DI",XXX_IV!E12:E49,"=2"))</f>
        <v>240.04</v>
      </c>
      <c r="C2" s="348" t="s">
        <v>37</v>
      </c>
      <c r="D2" s="268"/>
      <c r="F2" s="165" t="s">
        <v>27</v>
      </c>
      <c r="G2" s="269" t="str">
        <f>IF((G6="DA")*(G7="DA")*(G8="DA")*(G9="DA")*(G15="DA")*(G16="DA")*(G17="DA"),"DA","")</f>
        <v>DA</v>
      </c>
      <c r="H2" s="270" t="str">
        <f>IF((G6="DA")*(G7="DA")*(G8="DA")*(G9="DA")*(G15="DA")*(G16="DA")*(G17="DA"),"","NU")</f>
        <v/>
      </c>
    </row>
    <row r="3" spans="1:12" ht="15.75" thickBot="1" x14ac:dyDescent="0.3">
      <c r="A3" s="166" t="s">
        <v>19</v>
      </c>
      <c r="D3" s="167"/>
      <c r="E3" s="167"/>
      <c r="F3" s="167"/>
      <c r="G3" s="163"/>
      <c r="H3" s="163"/>
    </row>
    <row r="4" spans="1:12" ht="15.75" thickBot="1" x14ac:dyDescent="0.3">
      <c r="C4" s="168">
        <f>SUM(XXX_I!F67,XXX_I!L67,XXX_II!F67,XXX_II!L67,XXX_III!F69,XXX_III!L69,XXX_IV!F68,XXX_IV!L68)/IF(XXX_IV!L68=0, IF(XXX_IV!F68=0,IF(XXX_III!L69=0,IF(XXX_III!F69=0,4,5),6),7),8)</f>
        <v>27.25</v>
      </c>
      <c r="D4" s="169" t="str">
        <f>IF(C4&lt;=26,"OK","&gt;")</f>
        <v>&gt;</v>
      </c>
      <c r="E4" s="167"/>
      <c r="F4" s="167"/>
      <c r="G4" s="167"/>
      <c r="H4" s="167"/>
    </row>
    <row r="5" spans="1:12" s="172" customFormat="1" ht="24.95" customHeight="1" thickBot="1" x14ac:dyDescent="0.3">
      <c r="A5" s="170" t="s">
        <v>18</v>
      </c>
      <c r="B5" s="340" t="s">
        <v>17</v>
      </c>
      <c r="C5" s="349" t="s">
        <v>24</v>
      </c>
      <c r="D5" s="170" t="s">
        <v>16</v>
      </c>
      <c r="E5" s="549" t="s">
        <v>26</v>
      </c>
      <c r="F5" s="550"/>
      <c r="G5" s="551" t="s">
        <v>25</v>
      </c>
      <c r="H5" s="552"/>
      <c r="I5" s="171"/>
      <c r="J5" s="355"/>
      <c r="L5" s="332"/>
    </row>
    <row r="6" spans="1:12" ht="60" x14ac:dyDescent="0.25">
      <c r="A6" s="173" t="s">
        <v>44</v>
      </c>
      <c r="B6" s="341" t="str">
        <f>B40&amp;B58&amp;B76&amp;B94</f>
        <v xml:space="preserve">D35ROBL101, D35ROBL102, D35ROBL103, D35ROBL104, D35ROBL105, D35ROBL106, D35ROBL201, D35ROBL202, D35ROBL206, D35ROBL306, D35ROBL402, </v>
      </c>
      <c r="C6" s="350">
        <f>C40+C58+C76+C94</f>
        <v>616</v>
      </c>
      <c r="D6" s="174">
        <f>C6/(SUM($C$15:$C$16)-$B$2+MIN($B$2,$D$2))*100</f>
        <v>19.322216785234815</v>
      </c>
      <c r="E6" s="277">
        <v>17</v>
      </c>
      <c r="F6" s="278">
        <v>100</v>
      </c>
      <c r="G6" s="271" t="str">
        <f>IF((D6&gt;=E6-1)*(D6&lt;=F6+1),"DA","")</f>
        <v>DA</v>
      </c>
      <c r="H6" s="272" t="str">
        <f>IF((D6&gt;=E6-1)*(D6&lt;=F6+1),"","NU")</f>
        <v/>
      </c>
      <c r="K6" s="177"/>
      <c r="L6" s="333"/>
    </row>
    <row r="7" spans="1:12" ht="120" x14ac:dyDescent="0.25">
      <c r="A7" s="178" t="s">
        <v>45</v>
      </c>
      <c r="B7" s="342" t="str">
        <f>B41&amp;B59&amp;B77&amp;B95</f>
        <v xml:space="preserve">D35ROBL203, D35ROBL204, D35ROBL205, D35ROBL301, D35ROBL303, D35ROBL401, D35ROBL403, D35ROBL404, D35ROBL405, D35ROBL408, D35ROBL502, D35ROBL503, D35ROBL505, D35ROBL506, D35ROBL507, D35ROBL508, D35ROBL601, D35ROBL602, D35ROBL603, D35ROBL604, D35ROBL605, D35ROBL608, D35ROBL702, D35ROBL801, </v>
      </c>
      <c r="C7" s="351">
        <f>C41+C59+C77+C95</f>
        <v>1184.02</v>
      </c>
      <c r="D7" s="179">
        <f t="shared" ref="D7:D9" si="0">C7/(SUM($C$15:$C$16)-$B$2+MIN($B$2,$D$2))*100</f>
        <v>37.139433633204099</v>
      </c>
      <c r="E7" s="279">
        <v>38</v>
      </c>
      <c r="F7" s="280">
        <v>100</v>
      </c>
      <c r="G7" s="273" t="str">
        <f>IF((D7&gt;=E7-1)*(D7&lt;=F7+1),"DA","")</f>
        <v>DA</v>
      </c>
      <c r="H7" s="274" t="str">
        <f>IF((D7&gt;=E7-1)*(D7&lt;=F7+1),"","NU")</f>
        <v/>
      </c>
      <c r="I7" s="182"/>
      <c r="K7" s="177"/>
      <c r="L7" s="333"/>
    </row>
    <row r="8" spans="1:12" ht="151.5" customHeight="1" x14ac:dyDescent="0.25">
      <c r="A8" s="178" t="s">
        <v>46</v>
      </c>
      <c r="B8" s="342" t="str">
        <f t="shared" ref="B8:B9" si="1">B42&amp;B60&amp;B78&amp;B96</f>
        <v xml:space="preserve">D35ROBL302, D35ROBL304, D35ROBL305, D35ROBL501, D35ROBL504, D35ROBL606, D35ROBL607, D35ROBL609, D35ROBL610, D35ROBL611, D35ROBL701, D35ROBL703, D35ROBL704a, D35ROBL705a, D35ROBL706a, D35ROBL707a, D35ROBL708a, D35ROBL802, D35ROBL803, D35ROBL804, D35ROBL805a, D35ROBL806a, D35ROBL807a, </v>
      </c>
      <c r="C8" s="351">
        <f>C42+C60+C78+C96</f>
        <v>1164.02</v>
      </c>
      <c r="D8" s="179">
        <f t="shared" si="0"/>
        <v>36.512088932384792</v>
      </c>
      <c r="E8" s="279">
        <v>25</v>
      </c>
      <c r="F8" s="280">
        <v>100</v>
      </c>
      <c r="G8" s="273" t="str">
        <f t="shared" ref="G8:G9" si="2">IF((D8&gt;=E8-1)*(D8&lt;=F8+1),"DA","")</f>
        <v>DA</v>
      </c>
      <c r="H8" s="274" t="str">
        <f t="shared" ref="H8:H9" si="3">IF((D8&gt;=E8-1)*(D8&lt;=F8+1),"","NU")</f>
        <v/>
      </c>
      <c r="I8" s="183"/>
      <c r="K8" s="184"/>
      <c r="L8" s="334"/>
    </row>
    <row r="9" spans="1:12" ht="51.75" customHeight="1" thickBot="1" x14ac:dyDescent="0.3">
      <c r="A9" s="186" t="s">
        <v>47</v>
      </c>
      <c r="B9" s="343" t="str">
        <f t="shared" si="1"/>
        <v xml:space="preserve">D35ROBL107, D35ROBL207, D35ROBL208, D35ROBL209, D35ROBL307, D35ROBL308, D35ROBL406, D35ROBL407, D35ROBL409, D35ROBL410, D35ROBL710, </v>
      </c>
      <c r="C9" s="352">
        <f>C43+C61+C79+C97</f>
        <v>224</v>
      </c>
      <c r="D9" s="187">
        <f t="shared" si="0"/>
        <v>7.0262606491762973</v>
      </c>
      <c r="E9" s="281">
        <v>0</v>
      </c>
      <c r="F9" s="282">
        <v>8</v>
      </c>
      <c r="G9" s="275" t="str">
        <f t="shared" si="2"/>
        <v>DA</v>
      </c>
      <c r="H9" s="276" t="str">
        <f t="shared" si="3"/>
        <v/>
      </c>
      <c r="K9" s="184"/>
      <c r="L9" s="333"/>
    </row>
    <row r="10" spans="1:12" ht="15.75" thickBot="1" x14ac:dyDescent="0.3">
      <c r="A10" s="190"/>
      <c r="B10" s="344" t="s">
        <v>35</v>
      </c>
      <c r="C10" s="191">
        <f>SUM(C6:C9)</f>
        <v>3188.04</v>
      </c>
      <c r="D10" s="192">
        <f>SUM(D6:D9)</f>
        <v>100</v>
      </c>
      <c r="E10" s="202">
        <v>3152</v>
      </c>
      <c r="F10" s="203">
        <v>3376</v>
      </c>
      <c r="G10" s="193" t="str">
        <f>IF((C10&gt;=E10-2)*(C10&lt;=F10+2),"DA","")</f>
        <v>DA</v>
      </c>
      <c r="H10" s="194" t="str">
        <f>IF((C10&gt;=E10-1)*(C10&lt;=F10+1),"","NU")</f>
        <v/>
      </c>
      <c r="K10" s="195"/>
      <c r="L10" s="335"/>
    </row>
    <row r="11" spans="1:12" ht="15.75" thickBot="1" x14ac:dyDescent="0.3">
      <c r="A11" s="185"/>
      <c r="B11" s="344" t="s">
        <v>42</v>
      </c>
      <c r="C11" s="328">
        <f>C10+C17</f>
        <v>3720.04</v>
      </c>
      <c r="K11" s="195"/>
      <c r="L11" s="335"/>
    </row>
    <row r="13" spans="1:12" ht="15.75" thickBot="1" x14ac:dyDescent="0.3">
      <c r="A13" s="166" t="s">
        <v>52</v>
      </c>
      <c r="D13" s="167"/>
      <c r="E13" s="167"/>
      <c r="F13" s="167"/>
      <c r="G13" s="167"/>
      <c r="H13" s="167"/>
    </row>
    <row r="14" spans="1:12" s="172" customFormat="1" ht="15.75" thickBot="1" x14ac:dyDescent="0.3">
      <c r="A14" s="170" t="s">
        <v>18</v>
      </c>
      <c r="B14" s="340" t="s">
        <v>17</v>
      </c>
      <c r="C14" s="349" t="s">
        <v>24</v>
      </c>
      <c r="D14" s="170" t="s">
        <v>16</v>
      </c>
      <c r="E14" s="549" t="s">
        <v>26</v>
      </c>
      <c r="F14" s="550"/>
      <c r="G14" s="551" t="s">
        <v>25</v>
      </c>
      <c r="H14" s="552"/>
      <c r="I14" s="171"/>
      <c r="J14" s="355"/>
      <c r="L14" s="336"/>
    </row>
    <row r="15" spans="1:12" ht="300" x14ac:dyDescent="0.25">
      <c r="A15" s="173" t="s">
        <v>20</v>
      </c>
      <c r="B15" s="341" t="str">
        <f>B48&amp;B66&amp;B84&amp;B102</f>
        <v xml:space="preserve">D35ROBL101, D35ROBL102, D35ROBL103, D35ROBL104, D35ROBL105, D35ROBL106, D35ROBL107, D35ROBL201, D35ROBL202, D35ROBL203, D35ROBL204, D35ROBL205, D35ROBL206, D35ROBL207, D35ROBL208, D35ROBL209, D35ROBL301, D35ROBL302, D35ROBL303, D35ROBL304, D35ROBL305, D35ROBL306, D35ROBL307, D35ROBL308, D35ROBL401, D35ROBL402, D35ROBL403, D35ROBL404, D35ROBL405, D35ROBL406, D35ROBL407, D35ROBL408, D35ROBL409, D35ROBL410, D35ROBL501, D35ROBL502, D35ROBL503, D35ROBL504, D35ROBL505, D35ROBL506, D35ROBL507, D35ROBL508, D35ROBL601, D35ROBL602, D35ROBL603, D35ROBL604, D35ROBL605, D35ROBL606, D35ROBL607, D35ROBL608, D35ROBL609, D35ROBL610, D35ROBL611, D35ROBL701, D35ROBL702, D35ROBL703, D35ROBL801, D35ROBL802, D35ROBL803, D35ROBL804, </v>
      </c>
      <c r="C15" s="350">
        <f>C48+C66+C84+C102</f>
        <v>2824.04</v>
      </c>
      <c r="D15" s="174">
        <f t="shared" ref="D15:D17" si="4">C15/(SUM($C$15:$C$16)-$B$2+MIN($B$2,$D$2))*100</f>
        <v>88.582326445088526</v>
      </c>
      <c r="E15" s="277">
        <v>0</v>
      </c>
      <c r="F15" s="278">
        <v>90</v>
      </c>
      <c r="G15" s="271" t="str">
        <f t="shared" ref="G15:G17" si="5">IF((D15&gt;=E15-1)*(D15&lt;=F15+1),"DA","")</f>
        <v>DA</v>
      </c>
      <c r="H15" s="272" t="str">
        <f t="shared" ref="H15:H17" si="6">IF((D15&gt;=E15-1)*(D15&lt;=F15+1),"","NU")</f>
        <v/>
      </c>
      <c r="I15" s="183"/>
    </row>
    <row r="16" spans="1:12" ht="45" x14ac:dyDescent="0.25">
      <c r="A16" s="178" t="s">
        <v>21</v>
      </c>
      <c r="B16" s="342" t="str">
        <f>B49&amp;B67&amp;B85&amp;B103</f>
        <v xml:space="preserve">D35ROBL704a, D35ROBL705a, D35ROBL706a, D35ROBL707a, D35ROBL708a, D35ROBL805a, D35ROBL806a, D35ROBL807a, </v>
      </c>
      <c r="C16" s="353">
        <f>C49+C67+C85+C103</f>
        <v>364</v>
      </c>
      <c r="D16" s="196">
        <f t="shared" si="4"/>
        <v>11.417673554911483</v>
      </c>
      <c r="E16" s="279">
        <v>10</v>
      </c>
      <c r="F16" s="280">
        <v>100</v>
      </c>
      <c r="G16" s="273" t="str">
        <f t="shared" si="5"/>
        <v>DA</v>
      </c>
      <c r="H16" s="274" t="str">
        <f t="shared" si="6"/>
        <v/>
      </c>
    </row>
    <row r="17" spans="1:13" ht="26.25" x14ac:dyDescent="0.25">
      <c r="A17" s="178" t="s">
        <v>22</v>
      </c>
      <c r="B17" s="342" t="str">
        <f t="shared" ref="B17" si="7">B50&amp;B68&amp;B86&amp;B104</f>
        <v xml:space="preserve">D35ROBL710, </v>
      </c>
      <c r="C17" s="353">
        <f>C50+C68+C86+C104</f>
        <v>532</v>
      </c>
      <c r="D17" s="198">
        <f t="shared" si="4"/>
        <v>16.687369041793705</v>
      </c>
      <c r="E17" s="279">
        <v>10</v>
      </c>
      <c r="F17" s="280">
        <v>100</v>
      </c>
      <c r="G17" s="273" t="str">
        <f t="shared" si="5"/>
        <v>DA</v>
      </c>
      <c r="H17" s="274" t="str">
        <f t="shared" si="6"/>
        <v/>
      </c>
    </row>
    <row r="18" spans="1:13" ht="15.75" thickBot="1" x14ac:dyDescent="0.3">
      <c r="A18" s="199"/>
      <c r="B18" s="345" t="s">
        <v>35</v>
      </c>
      <c r="C18" s="200">
        <f>SUM(C15:C16)</f>
        <v>3188.04</v>
      </c>
      <c r="D18" s="201">
        <f>D15+D16</f>
        <v>100.00000000000001</v>
      </c>
      <c r="E18" s="202"/>
      <c r="F18" s="203"/>
      <c r="G18" s="204"/>
      <c r="H18" s="205"/>
      <c r="M18" s="337"/>
    </row>
    <row r="19" spans="1:13" ht="15.75" thickBot="1" x14ac:dyDescent="0.3">
      <c r="B19" s="344" t="s">
        <v>42</v>
      </c>
      <c r="C19" s="328">
        <f>SUM(C15:C17)</f>
        <v>3720.04</v>
      </c>
      <c r="D19" s="163"/>
      <c r="E19" s="163"/>
      <c r="F19" s="163"/>
      <c r="G19" s="163"/>
      <c r="H19" s="163"/>
      <c r="M19" s="337"/>
    </row>
    <row r="20" spans="1:13" x14ac:dyDescent="0.25">
      <c r="C20" s="354"/>
      <c r="D20" s="163"/>
      <c r="E20" s="163"/>
      <c r="F20" s="163"/>
      <c r="G20" s="163"/>
      <c r="H20" s="163"/>
    </row>
    <row r="21" spans="1:13" x14ac:dyDescent="0.25">
      <c r="C21" s="354"/>
      <c r="D21" s="163"/>
      <c r="E21" s="163"/>
      <c r="F21" s="163"/>
      <c r="G21" s="163"/>
      <c r="H21" s="163"/>
    </row>
    <row r="22" spans="1:13" x14ac:dyDescent="0.25">
      <c r="C22" s="354"/>
      <c r="D22" s="163"/>
      <c r="E22" s="163"/>
      <c r="F22" s="163"/>
      <c r="G22" s="163"/>
      <c r="H22" s="163"/>
    </row>
    <row r="23" spans="1:13" x14ac:dyDescent="0.25">
      <c r="C23" s="354"/>
      <c r="D23" s="163"/>
      <c r="E23" s="163"/>
      <c r="F23" s="163"/>
      <c r="G23" s="163"/>
      <c r="H23" s="163"/>
    </row>
    <row r="24" spans="1:13" x14ac:dyDescent="0.25">
      <c r="C24" s="354"/>
      <c r="D24" s="163"/>
      <c r="E24" s="163"/>
      <c r="F24" s="163"/>
      <c r="G24" s="163"/>
      <c r="H24" s="163"/>
    </row>
    <row r="25" spans="1:13" x14ac:dyDescent="0.25">
      <c r="C25" s="354"/>
      <c r="D25" s="163"/>
      <c r="E25" s="163"/>
      <c r="F25" s="163"/>
      <c r="G25" s="163"/>
      <c r="H25" s="163"/>
    </row>
    <row r="26" spans="1:13" x14ac:dyDescent="0.25">
      <c r="C26" s="354"/>
      <c r="D26" s="163"/>
      <c r="E26" s="163"/>
      <c r="F26" s="163"/>
      <c r="G26" s="163"/>
      <c r="H26" s="163"/>
    </row>
    <row r="27" spans="1:13" x14ac:dyDescent="0.25">
      <c r="C27" s="354"/>
      <c r="D27" s="163"/>
      <c r="E27" s="163"/>
      <c r="F27" s="163"/>
      <c r="G27" s="163"/>
      <c r="H27" s="163"/>
    </row>
    <row r="28" spans="1:13" x14ac:dyDescent="0.25">
      <c r="C28" s="354"/>
      <c r="D28" s="163"/>
      <c r="E28" s="163"/>
      <c r="F28" s="163"/>
      <c r="G28" s="163"/>
      <c r="H28" s="163"/>
    </row>
    <row r="29" spans="1:13" x14ac:dyDescent="0.25">
      <c r="C29" s="354"/>
      <c r="D29" s="163"/>
      <c r="E29" s="163"/>
      <c r="F29" s="163"/>
      <c r="G29" s="163"/>
      <c r="H29" s="163"/>
    </row>
    <row r="30" spans="1:13" x14ac:dyDescent="0.25">
      <c r="C30" s="354"/>
      <c r="D30" s="163"/>
      <c r="E30" s="163"/>
      <c r="F30" s="163"/>
      <c r="G30" s="163"/>
      <c r="H30" s="163"/>
    </row>
    <row r="31" spans="1:13" x14ac:dyDescent="0.25">
      <c r="C31" s="354"/>
      <c r="D31" s="163"/>
      <c r="E31" s="163"/>
      <c r="F31" s="163"/>
      <c r="G31" s="163"/>
      <c r="H31" s="163"/>
    </row>
    <row r="32" spans="1:13" x14ac:dyDescent="0.25">
      <c r="C32" s="354"/>
      <c r="D32" s="163"/>
      <c r="E32" s="163"/>
      <c r="F32" s="163"/>
      <c r="G32" s="163"/>
      <c r="H32" s="163"/>
    </row>
    <row r="33" spans="1:12" x14ac:dyDescent="0.25">
      <c r="C33" s="354"/>
      <c r="D33" s="163"/>
      <c r="E33" s="163"/>
      <c r="F33" s="163"/>
      <c r="G33" s="163"/>
      <c r="H33" s="163"/>
    </row>
    <row r="34" spans="1:12" x14ac:dyDescent="0.25">
      <c r="C34" s="354"/>
      <c r="D34" s="163"/>
      <c r="E34" s="163"/>
      <c r="F34" s="163"/>
      <c r="G34" s="163"/>
      <c r="H34" s="163"/>
    </row>
    <row r="35" spans="1:12" ht="18.75" x14ac:dyDescent="0.3">
      <c r="B35" s="358" t="s">
        <v>28</v>
      </c>
    </row>
    <row r="36" spans="1:12" ht="30" x14ac:dyDescent="0.25">
      <c r="C36" s="354"/>
      <c r="D36" s="163"/>
      <c r="E36" s="163"/>
      <c r="F36" s="206" t="s">
        <v>27</v>
      </c>
      <c r="G36" s="207"/>
      <c r="H36" s="208"/>
    </row>
    <row r="37" spans="1:12" x14ac:dyDescent="0.25">
      <c r="A37" s="166" t="s">
        <v>19</v>
      </c>
      <c r="D37" s="167"/>
      <c r="E37" s="167"/>
      <c r="F37" s="167"/>
      <c r="G37" s="163"/>
      <c r="H37" s="163"/>
    </row>
    <row r="38" spans="1:12" ht="15.75" thickBot="1" x14ac:dyDescent="0.3">
      <c r="D38" s="167"/>
      <c r="E38" s="167"/>
      <c r="F38" s="167"/>
      <c r="G38" s="167"/>
      <c r="H38" s="167"/>
    </row>
    <row r="39" spans="1:12" s="172" customFormat="1" ht="15.75" thickBot="1" x14ac:dyDescent="0.3">
      <c r="A39" s="170" t="s">
        <v>18</v>
      </c>
      <c r="B39" s="340" t="s">
        <v>17</v>
      </c>
      <c r="C39" s="349" t="s">
        <v>24</v>
      </c>
      <c r="D39" s="170" t="s">
        <v>16</v>
      </c>
      <c r="E39" s="549" t="s">
        <v>26</v>
      </c>
      <c r="F39" s="550"/>
      <c r="G39" s="551" t="s">
        <v>25</v>
      </c>
      <c r="H39" s="552"/>
      <c r="I39" s="171"/>
      <c r="J39" s="355"/>
      <c r="L39" s="336"/>
    </row>
    <row r="40" spans="1:12" ht="45" x14ac:dyDescent="0.25">
      <c r="A40" s="173" t="s">
        <v>44</v>
      </c>
      <c r="B40" s="341" t="str">
        <f>IF((XXX_I!C12="DF")*(XXX_I!E12&lt;&gt;0),XXX_I!B12&amp;", ","")&amp;IF((XXX_I!C13="DF")*(XXX_I!E13&lt;&gt;0),XXX_I!B13&amp;", ","")&amp;IF((XXX_I!C14="DF")*(XXX_I!E14&lt;&gt;0),XXX_I!B14&amp;", ","")&amp;IF((XXX_I!C15="DF")*(XXX_I!E15&lt;&gt;0),XXX_I!B15&amp;", ","")&amp;IF((XXX_I!C16="DF")*(XXX_I!E16&lt;&gt;0),XXX_I!B16&amp;", ","")&amp;IF((XXX_I!C17="DF")*(XXX_I!E17&lt;&gt;0),XXX_I!B17&amp;", ","")&amp;IF((XXX_I!C18="DF")*(XXX_I!E18&lt;&gt;0),XXX_I!B18&amp;", ","")&amp;IF((XXX_I!C19="DF")*(XXX_I!E19&lt;&gt;0),XXX_I!B19&amp;", ","")&amp;IF((XXX_I!C20="DF")*(XXX_I!E20&lt;&gt;0),XXX_I!B20&amp;", ","")&amp;IF((XXX_I!C21="DF")*(XXX_I!E21&lt;&gt;0),XXX_I!B21&amp;", ","")&amp;IF((XXX_I!C22="DF")*(XXX_I!E22&lt;&gt;0),XXX_I!B22&amp;", ","")&amp;IF((XXX_I!C23="DF")*(XXX_I!E23&lt;&gt;0),XXX_I!B23&amp;", ","")&amp;IF((XXX_I!C24="DF")*(XXX_I!E24&lt;&gt;0),XXX_I!B24&amp;", ","")&amp;IF((XXX_I!C25="DF")*(XXX_I!E25&lt;&gt;0),XXX_I!B25&amp;", ","")&amp;IF((XXX_I!C26="DF")*(XXX_I!E26&lt;&gt;0),XXX_I!B26&amp;", ","")&amp;IF((XXX_I!C27="DF")*(XXX_I!E27&lt;&gt;0),XXX_I!B27&amp;", ","")&amp;IF((XXX_I!C28="DF")*(XXX_I!E28&lt;&gt;0),XXX_I!B28&amp;", ","")&amp;IF((XXX_I!C29="DF")*(XXX_I!E29&lt;&gt;0),XXX_I!B29&amp;", ","")&amp;IF((XXX_I!C30="DF")*(XXX_I!E30&lt;&gt;0),XXX_I!B30&amp;", ","")&amp;IF((XXX_I!C31="DF")*(XXX_I!E31&lt;&gt;0),XXX_I!B31&amp;", ","")&amp;IF((XXX_I!C32="DF")*(XXX_I!E32&lt;&gt;0),XXX_I!B32&amp;", ","")&amp;IF((XXX_I!C33="DF")*(XXX_I!E33&lt;&gt;0),XXX_I!B33&amp;", ","")&amp;IF((XXX_I!C34="DF")*(XXX_I!E34&lt;&gt;0),XXX_I!B34&amp;", ","")&amp;IF((XXX_I!C35="DF")*(XXX_I!E35&lt;&gt;0),XXX_I!B35&amp;", ","")&amp;IF((XXX_I!C36="DF")*(XXX_I!E36&lt;&gt;0),XXX_I!B36&amp;", ","")&amp;IF((XXX_I!C37="DF")*(XXX_I!E37&lt;&gt;0),XXX_I!B37&amp;", ","")&amp;IF((XXX_I!C38="DF")*(XXX_I!E38&lt;&gt;0),XXX_I!B38&amp;", ","")&amp;IF((XXX_I!C39="DF")*(XXX_I!E39&lt;&gt;0),XXX_I!B39&amp;", ","")&amp;IF((XXX_I!C40="DF")*(XXX_I!E40&lt;&gt;0),XXX_I!B40&amp;", ","")&amp;IF((XXX_I!C41="DF")*(XXX_I!E41&lt;&gt;0),XXX_I!B41&amp;", ","")&amp;IF((XXX_I!C42="DF")*(XXX_I!E42&lt;&gt;0),XXX_I!B42&amp;", ","")&amp;IF((XXX_I!C43="DF")*(XXX_I!E43&lt;&gt;0),XXX_I!B47&amp;", ","")&amp;IF((XXX_I!C44="DF")*(XXX_I!E44&lt;&gt;0),XXX_I!B44&amp;", ","")&amp;IF((XXX_I!C45="DF")*(XXX_I!E45&lt;&gt;0),XXX_I!B45&amp;", ","")&amp;IF((XXX_I!C46="DF")*(XXX_I!E46&lt;&gt;0),XXX_I!B46&amp;", ","")&amp;IF((XXX_I!C47="DF")*(XXX_I!E47&lt;&gt;0),XXX_I!B47&amp;", ","")&amp;IF((XXX_I!C48="DF")*(XXX_I!E48&lt;&gt;0),XXX_I!B48&amp;", ","")</f>
        <v xml:space="preserve">D35ROBL101, D35ROBL102, D35ROBL103, D35ROBL104, D35ROBL105, D35ROBL106, D35ROBL201, D35ROBL202, D35ROBL206, </v>
      </c>
      <c r="C40" s="350">
        <f>IF(XXX_I!F7&lt;&gt;0,XXX_I!F7*(SUMIFS(XXX_I!F12:F48,XXX_I!C12:C48,"=DF",XXX_I!E12:E48,"&lt;&gt;0",XXX_I!D12:D48,"&lt;&gt;DFac")+SUMIFS(XXX_I!G12:G48,XXX_I!C12:C48,"=DF",XXX_I!E12:E48,"&lt;&gt;0",XXX_I!D12:D48,"&lt;&gt;DFac")+SUMIFS(XXX_I!H12:H48,XXX_I!C12:C48,"=DF",XXX_I!E12:E48,"&lt;&gt;0",XXX_I!D12:D48,"&lt;&gt;DFac")+SUMIFS(XXX_I!I12:I48,XXX_I!C12:C48,"=DF",XXX_I!E12:E48,"&lt;&gt;0",XXX_I!D12:D48,"&lt;&gt;DFac")),14*(SUMIFS(XXX_I!F12:F48,XXX_I!C12:C48,"=DF",XXX_I!E12:E48,"&lt;&gt;0",XXX_I!D12:D48,"&lt;&gt;DFac")+SUMIFS(XXX_I!G12:G48,XXX_I!C12:C48,"=DF",XXX_I!E12:E48,"&lt;&gt;0",XXX_I!D12:D48,"&lt;&gt;DFac")+SUMIFS(XXX_I!H12:H48,XXX_I!C12:C48,"=DF",XXX_I!E12:E48,"&lt;&gt;0",XXX_I!D12:D48,"&lt;&gt;DFac")+SUMIFS(XXX_I!I12:I48,XXX_I!C12:C48,"=DF",XXX_I!E12:E48,"&lt;&gt;0",XXX_I!D12:D48,"&lt;&gt;DFac")))+IF(XXX_I!L7&lt;&gt;0,XXX_I!L7*(SUMIFS(XXX_I!L12:L48,XXX_I!C12:C48,"=DF",XXX_I!E12:E48,"&lt;&gt;0",XXX_I!D12:D48,"&lt;&gt;DFac")+SUMIFS(XXX_I!M12:M48,XXX_I!C12:C48,"=DF",XXX_I!E12:E48,"&lt;&gt;0",XXX_I!D12:D48,"&lt;&gt;DFac")+SUMIFS(XXX_I!N12:N48,XXX_I!C12:C48,"=DF",XXX_I!E12:E48,"&lt;&gt;0",XXX_I!D12:D48,"&lt;&gt;DFac")+SUMIFS(XXX_I!O12:O48,XXX_I!C12:C48,"=DF",XXX_I!E12:E48,"&lt;&gt;0",XXX_I!D12:D48,"&lt;&gt;DFac")),14*(SUMIFS(XXX_I!L12:L48,XXX_I!C12:C48,"=DF",XXX_I!E12:E48,"&lt;&gt;0",XXX_I!D12:D48,"&lt;&gt;DFac")+SUMIFS(XXX_I!M12:M48,XXX_I!C12:C48,"=DF",XXX_I!E12:E48,"&lt;&gt;0",XXX_I!D12:D48,"&lt;&gt;DFac")+SUMIFS(XXX_I!N12:N48,XXX_I!C12:C48,"=DF",XXX_I!E12:E48,"&lt;&gt;0",XXX_I!D12:D48,"&lt;&gt;DFac")+SUMIFS(XXX_I!O12:O48,XXX_I!C12:C48,"=DF",XXX_I!E12:E48,"&lt;&gt;0",XXX_I!D12:D48,"&lt;&gt;DFac")))</f>
        <v>504</v>
      </c>
      <c r="D40" s="209"/>
      <c r="E40" s="210"/>
      <c r="F40" s="211"/>
      <c r="G40" s="175"/>
      <c r="H40" s="176"/>
      <c r="I40" s="212"/>
      <c r="K40" s="184"/>
      <c r="L40" s="333"/>
    </row>
    <row r="41" spans="1:12" x14ac:dyDescent="0.25">
      <c r="A41" s="178" t="s">
        <v>45</v>
      </c>
      <c r="B41" s="342" t="str">
        <f>IF((XXX_I!C12="DD")*(XXX_I!E12&lt;&gt;0),XXX_I!B12&amp;", ","")&amp;IF((XXX_I!C13="DD")*(XXX_I!E13&lt;&gt;0),XXX_I!B13&amp;", ","")&amp;IF((XXX_I!C14="DD")*(XXX_I!E14&lt;&gt;0),XXX_I!B14&amp;", ","")&amp;IF((XXX_I!C15="DD")*(XXX_I!E15&lt;&gt;0),XXX_I!B15&amp;", ","")&amp;IF((XXX_I!C16="DD")*(XXX_I!E16&lt;&gt;0),XXX_I!B16&amp;", ","")&amp;IF((XXX_I!C17="DD")*(XXX_I!E17&lt;&gt;0),XXX_I!B17&amp;", ","")&amp;IF((XXX_I!C18="DD")*(XXX_I!E18&lt;&gt;0),XXX_I!B18&amp;", ","")&amp;IF((XXX_I!C19="DD")*(XXX_I!E19&lt;&gt;0),XXX_I!B19&amp;", ","")&amp;IF((XXX_I!C20="DD")*(XXX_I!E20&lt;&gt;0),XXX_I!B20&amp;", ","")&amp;IF((XXX_I!C21="DD")*(XXX_I!E21&lt;&gt;0),XXX_I!B21&amp;", ","")&amp;IF((XXX_I!C22="DD")*(XXX_I!E22&lt;&gt;0),XXX_I!B22&amp;", ","")&amp;IF((XXX_I!C23="DD")*(XXX_I!E23&lt;&gt;0),XXX_I!B23&amp;", ","")&amp;IF((XXX_I!C24="DD")*(XXX_I!E24&lt;&gt;0),XXX_I!B24&amp;", ","")&amp;IF((XXX_I!C25="DD")*(XXX_I!E25&lt;&gt;0),XXX_I!B25&amp;", ","")&amp;IF((XXX_I!C26="DD")*(XXX_I!E26&lt;&gt;0),XXX_I!B26&amp;", ","")&amp;IF((XXX_I!C27="DD")*(XXX_I!E27&lt;&gt;0),XXX_I!B27&amp;", ","")&amp;IF((XXX_I!C28="DD")*(XXX_I!E28&lt;&gt;0),XXX_I!B28&amp;", ","")&amp;IF((XXX_I!C29="DD")*(XXX_I!E29&lt;&gt;0),XXX_I!B29&amp;", ","")&amp;IF((XXX_I!C30="DD")*(XXX_I!E30&lt;&gt;0),XXX_I!B30&amp;", ","")&amp;IF((XXX_I!C31="DD")*(XXX_I!E31&lt;&gt;0),XXX_I!B31&amp;", ","")&amp;IF((XXX_I!C32="DD")*(XXX_I!E32&lt;&gt;0),XXX_I!B32&amp;", ","")&amp;IF((XXX_I!C33="DD")*(XXX_I!E33&lt;&gt;0),XXX_I!B33&amp;", ","")&amp;IF((XXX_I!C34="DD")*(XXX_I!E34&lt;&gt;0),XXX_I!B34&amp;", ","")&amp;IF((XXX_I!C35="DD")*(XXX_I!E35&lt;&gt;0),XXX_I!B35&amp;", ","")&amp;IF((XXX_I!C36="DD")*(XXX_I!E36&lt;&gt;0),XXX_I!B36&amp;", ","")&amp;IF((XXX_I!C37="DD")*(XXX_I!E37&lt;&gt;0),XXX_I!B37&amp;", ","")&amp;IF((XXX_I!C38="DD")*(XXX_I!E38&lt;&gt;0),XXX_I!B38&amp;", ","")&amp;IF((XXX_I!C39="DD")*(XXX_I!E39&lt;&gt;0),XXX_I!B39&amp;", ","")&amp;IF((XXX_I!C40="DD")*(XXX_I!E40&lt;&gt;0),XXX_I!B40&amp;", ","")&amp;IF((XXX_I!C41="DD")*(XXX_I!E41&lt;&gt;0),XXX_I!B41&amp;", ","")&amp;IF((XXX_I!C42="DD")*(XXX_I!E42&lt;&gt;0),XXX_I!B42&amp;", ","")&amp;IF((XXX_I!C43="DD")*(XXX_I!E43&lt;&gt;0),XXX_I!B47&amp;", ","")&amp;IF((XXX_I!C44="DD")*(XXX_I!E44&lt;&gt;0),XXX_I!B44&amp;", ","")&amp;IF((XXX_I!C45="DD")*(XXX_I!E45&lt;&gt;0),XXX_I!B45&amp;", ","")&amp;IF((XXX_I!C46="DD")*(XXX_I!E46&lt;&gt;0),XXX_I!B46&amp;", ","")&amp;IF((XXX_I!C47="DD")*(XXX_I!E47&lt;&gt;0),XXX_I!B47&amp;", ","")&amp;IF((XXX_I!C48="DD")*(XXX_I!E48&lt;&gt;0),XXX_I!B48&amp;", ","")</f>
        <v xml:space="preserve">D35ROBL203, D35ROBL204, D35ROBL205, </v>
      </c>
      <c r="C41" s="351">
        <f>IF(XXX_I!F7&lt;&gt;0,XXX_I!F7*(SUMIFS(XXX_I!F12:F48,XXX_I!C12:C48,"=DD",XXX_I!E12:E48,"&lt;&gt;0",XXX_I!D12:D48,"&lt;&gt;DFac")+SUMIFS(XXX_I!G12:G48,XXX_I!C12:C48,"=DD",XXX_I!E12:E48,"&lt;&gt;0",XXX_I!D12:D48,"&lt;&gt;DFac")+SUMIFS(XXX_I!H12:H48,XXX_I!C12:C48,"=DD",XXX_I!E12:E48,"&lt;&gt;0",XXX_I!D12:D48,"&lt;&gt;DFac")+SUMIFS(XXX_I!I12:I48,XXX_I!C12:C48,"=DD",XXX_I!E12:E48,"&lt;&gt;0",XXX_I!D12:D48,"&lt;&gt;DFac")),14*(SUMIFS(XXX_I!F12:F48,XXX_I!C12:C48,"=DD",XXX_I!E12:E48,"&lt;&gt;0",XXX_I!D12:D48,"&lt;&gt;DFac")+SUMIFS(XXX_I!G12:G48,XXX_I!C12:C48,"=DD",XXX_I!E12:E48,"&lt;&gt;0",XXX_I!D12:D48,"&lt;&gt;DFac")+SUMIFS(XXX_I!H12:H48,XXX_I!C12:C48,"=DD",XXX_I!E12:E48,"&lt;&gt;0",XXX_I!D12:D48,"&lt;&gt;DFac")+SUMIFS(XXX_I!I12:I48,XXX_I!C12:C48,"=DD",XXX_I!E12:E48,"&lt;&gt;0",XXX_I!D12:D48,"&lt;&gt;DFac")))+IF(XXX_I!L7&lt;&gt;0,XXX_I!L7*(SUMIFS(XXX_I!L12:L48,XXX_I!C12:C48,"=DD",XXX_I!E12:E48,"&lt;&gt;0",XXX_I!D12:D48,"&lt;&gt;DFac")+SUMIFS(XXX_I!M12:M48,XXX_I!C12:C48,"=DD",XXX_I!E12:E48,"&lt;&gt;0",XXX_I!D12:D48,"&lt;&gt;DFac")+SUMIFS(XXX_I!N12:N48,XXX_I!C12:C48,"=DD",XXX_I!E12:E48,"&lt;&gt;0",XXX_I!D12:D48,"&lt;&gt;DFac")+SUMIFS(XXX_I!O12:O48,XXX_I!C12:C48,"=DD",XXX_I!E12:E48,"&lt;&gt;0",XXX_I!D12:D48,"&lt;&gt;DFac")),14*(SUMIFS(XXX_I!L12:L48,XXX_I!C12:C48,"=DD",XXX_I!E12:E48,"&lt;&gt;0",XXX_I!D12:D48,"&lt;&gt;DFac")+SUMIFS(XXX_I!M12:M48,XXX_I!C12:C48,"=DD",XXX_I!E12:E48,"&lt;&gt;0",XXX_I!D12:D48,"&lt;&gt;DFac")+SUMIFS(XXX_I!N12:N48,XXX_I!C12:C48,"=DD",XXX_I!E12:E48,"&lt;&gt;0",XXX_I!D12:D48,"&lt;&gt;DFac")+SUMIFS(XXX_I!O12:O48,XXX_I!C12:C48,"=DD",XXX_I!E12:E48,"&lt;&gt;0",XXX_I!D12:D48,"&lt;&gt;DFac")))</f>
        <v>168</v>
      </c>
      <c r="D41" s="213"/>
      <c r="E41" s="214"/>
      <c r="F41" s="215"/>
      <c r="G41" s="180"/>
      <c r="H41" s="181"/>
      <c r="I41" s="212"/>
      <c r="K41" s="184"/>
      <c r="L41" s="333"/>
    </row>
    <row r="42" spans="1:12" x14ac:dyDescent="0.25">
      <c r="A42" s="178" t="s">
        <v>46</v>
      </c>
      <c r="B42" s="342" t="str">
        <f>IF((XXX_I!C12="DS")*(XXX_I!E12&lt;&gt;0),XXX_I!B12&amp;", ","")&amp;IF((XXX_I!C13="DS")*(XXX_I!E13&lt;&gt;0),XXX_I!B13&amp;", ","")&amp;IF((XXX_I!C14="DS")*(XXX_I!E14&lt;&gt;0),XXX_I!B14&amp;", ","")&amp;IF((XXX_I!C15="DS")*(XXX_I!E15&lt;&gt;0),XXX_I!B15&amp;", ","")&amp;IF((XXX_I!C16="DS")*(XXX_I!E16&lt;&gt;0),XXX_I!B16&amp;", ","")&amp;IF((XXX_I!C17="DS")*(XXX_I!E17&lt;&gt;0),XXX_I!B17&amp;", ","")&amp;IF((XXX_I!C18="DS")*(XXX_I!E18&lt;&gt;0),XXX_I!B18&amp;", ","")&amp;IF((XXX_I!C19="DS")*(XXX_I!E19&lt;&gt;0),XXX_I!B19&amp;", ","")&amp;IF((XXX_I!C20="DS")*(XXX_I!E20&lt;&gt;0),XXX_I!B20&amp;", ","")&amp;IF((XXX_I!C21="DS")*(XXX_I!E21&lt;&gt;0),XXX_I!B21&amp;", ","")&amp;IF((XXX_I!C22="DS")*(XXX_I!E22&lt;&gt;0),XXX_I!B22&amp;", ","")&amp;IF((XXX_I!C23="DS")*(XXX_I!E23&lt;&gt;0),XXX_I!B23&amp;", ","")&amp;IF((XXX_I!C24="DS")*(XXX_I!E24&lt;&gt;0),XXX_I!B24&amp;", ","")&amp;IF((XXX_I!C25="DS")*(XXX_I!E25&lt;&gt;0),XXX_I!B25&amp;", ","")&amp;IF((XXX_I!C26="DS")*(XXX_I!E26&lt;&gt;0),XXX_I!B26&amp;", ","")&amp;IF((XXX_I!C27="DS")*(XXX_I!E27&lt;&gt;0),XXX_I!B27&amp;", ","")&amp;IF((XXX_I!C28="DS")*(XXX_I!E28&lt;&gt;0),XXX_I!B28&amp;", ","")&amp;IF((XXX_I!C29="DS")*(XXX_I!E29&lt;&gt;0),XXX_I!B29&amp;", ","")&amp;IF((XXX_I!C30="DS")*(XXX_I!E30&lt;&gt;0),XXX_I!B30&amp;", ","")&amp;IF((XXX_I!C31="DS")*(XXX_I!E31&lt;&gt;0),XXX_I!B31&amp;", ","")&amp;IF((XXX_I!C32="DS")*(XXX_I!E32&lt;&gt;0),XXX_I!B32&amp;", ","")&amp;IF((XXX_I!C33="DS")*(XXX_I!E33&lt;&gt;0),XXX_I!B33&amp;", ","")&amp;IF((XXX_I!C34="DS")*(XXX_I!E34&lt;&gt;0),XXX_I!B34&amp;", ","")&amp;IF((XXX_I!C35="DS")*(XXX_I!E35&lt;&gt;0),XXX_I!B35&amp;", ","")&amp;IF((XXX_I!C36="DS")*(XXX_I!E36&lt;&gt;0),XXX_I!B36&amp;", ","")&amp;IF((XXX_I!C37="DS")*(XXX_I!E37&lt;&gt;0),XXX_I!B37&amp;", ","")&amp;IF((XXX_I!C38="DS")*(XXX_I!E38&lt;&gt;0),XXX_I!B38&amp;", ","")&amp;IF((XXX_I!C39="DS")*(XXX_I!E39&lt;&gt;0),XXX_I!B39&amp;", ","")&amp;IF((XXX_I!C40="DS")*(XXX_I!E40&lt;&gt;0),XXX_I!B40&amp;", ","")&amp;IF((XXX_I!C41="DS")*(XXX_I!E41&lt;&gt;0),XXX_I!B41&amp;", ","")&amp;IF((XXX_I!C42="DS")*(XXX_I!E42&lt;&gt;0),XXX_I!B42&amp;", ","")&amp;IF((XXX_I!C43="DS")*(XXX_I!E43&lt;&gt;0),XXX_I!B47&amp;", ","")&amp;IF((XXX_I!C44="DS")*(XXX_I!E44&lt;&gt;0),XXX_I!B44&amp;", ","")&amp;IF((XXX_I!C45="DS")*(XXX_I!E45&lt;&gt;0),XXX_I!B45&amp;", ","")&amp;IF((XXX_I!C46="DS")*(XXX_I!E46&lt;&gt;0),XXX_I!B46&amp;", ","")&amp;IF((XXX_I!C47="DS")*(XXX_I!E47&lt;&gt;0),XXX_I!B47&amp;", ","")&amp;IF((XXX_I!C48="DS")*(XXX_I!E48&lt;&gt;0),XXX_I!B48&amp;", ","")</f>
        <v/>
      </c>
      <c r="C42" s="351">
        <f>IF(XXX_I!F7&lt;&gt;0,XXX_I!F7*(SUMIFS(XXX_I!F12:F48,XXX_I!C12:C48,"=DS",XXX_I!E12:E48,"&lt;&gt;0",XXX_I!D12:D48,"&lt;&gt;DFac")+SUMIFS(XXX_I!G12:G48,XXX_I!C12:C48,"=DS",XXX_I!E12:E48,"&lt;&gt;0",XXX_I!D12:D48,"&lt;&gt;DFac")+SUMIFS(XXX_I!H12:H48,XXX_I!C12:C48,"=DS",XXX_I!E12:E48,"&lt;&gt;0",XXX_I!D12:D48,"&lt;&gt;DFac")+SUMIFS(XXX_I!I12:I48,XXX_I!C12:C48,"=DS",XXX_I!E12:E48,"&lt;&gt;0",XXX_I!D12:D48,"&lt;&gt;DFac")),14*(SUMIFS(XXX_I!F12:F48,XXX_I!C12:C48,"=DS",XXX_I!E12:E48,"&lt;&gt;0",XXX_I!D12:D48,"&lt;&gt;DFac")+SUMIFS(XXX_I!G12:G48,XXX_I!C12:C48,"=DS",XXX_I!E12:E48,"&lt;&gt;0",XXX_I!D12:D48,"&lt;&gt;DFac")+SUMIFS(XXX_I!H12:H48,XXX_I!C12:C48,"=DS",XXX_I!E12:E48,"&lt;&gt;0",XXX_I!D12:D48,"&lt;&gt;DFac")+SUMIFS(XXX_I!I12:I48,XXX_I!C12:C48,"=DS",XXX_I!E12:E48,"&lt;&gt;0",XXX_I!D12:D48,"&lt;&gt;DFac")))+IF(XXX_I!L7&lt;&gt;0,XXX_I!L7*(SUMIFS(XXX_I!L12:L48,XXX_I!C12:C48,"=DS",XXX_I!E12:E48,"&lt;&gt;0",XXX_I!D12:D48,"&lt;&gt;DFac")+SUMIFS(XXX_I!M12:M48,XXX_I!C12:C48,"=DS",XXX_I!E12:E48,"&lt;&gt;0",XXX_I!D12:D48,"&lt;&gt;DFac")+SUMIFS(XXX_I!N12:N48,XXX_I!C12:C48,"=DS",XXX_I!E12:E48,"&lt;&gt;0",XXX_I!D12:D48,"&lt;&gt;DFac")+SUMIFS(XXX_I!O12:O48,XXX_I!C12:C48,"=DS",XXX_I!E12:E48,"&lt;&gt;0",XXX_I!D12:D48,"&lt;&gt;DFac")),14*(SUMIFS(XXX_I!L12:L48,XXX_I!C12:C48,"=DS",XXX_I!E12:E48,"&lt;&gt;0",XXX_I!D12:D48,"&lt;&gt;DFac")+SUMIFS(XXX_I!M12:M48,XXX_I!C12:C48,"=DS",XXX_I!E12:E48,"&lt;&gt;0",XXX_I!D12:D48,"&lt;&gt;DFac")+SUMIFS(XXX_I!N12:N48,XXX_I!C12:C48,"=DS",XXX_I!E12:E48,"&lt;&gt;0",XXX_I!D12:D48,"&lt;&gt;DFac")+SUMIFS(XXX_I!O12:O48,XXX_I!C12:C48,"=DS",XXX_I!E12:E48,"&lt;&gt;0",XXX_I!D12:D48,"&lt;&gt;DFac")))</f>
        <v>0</v>
      </c>
      <c r="D42" s="213"/>
      <c r="E42" s="214"/>
      <c r="F42" s="215"/>
      <c r="G42" s="180"/>
      <c r="H42" s="181"/>
      <c r="I42" s="212"/>
      <c r="K42" s="184"/>
      <c r="L42" s="333"/>
    </row>
    <row r="43" spans="1:12" ht="22.5" customHeight="1" thickBot="1" x14ac:dyDescent="0.3">
      <c r="A43" s="186" t="s">
        <v>47</v>
      </c>
      <c r="B43" s="343" t="str">
        <f>IF((XXX_I!C12="DC")*(XXX_I!E12&lt;&gt;0),XXX_I!B12&amp;", ","")&amp;IF((XXX_I!C13="DC")*(XXX_I!E13&lt;&gt;0),XXX_I!B13&amp;", ","")&amp;IF((XXX_I!C14="DC")*(XXX_I!E14&lt;&gt;0),XXX_I!B14&amp;", ","")&amp;IF((XXX_I!C15="DC")*(XXX_I!E15&lt;&gt;0),XXX_I!B15&amp;", ","")&amp;IF((XXX_I!C16="DC")*(XXX_I!E16&lt;&gt;0),XXX_I!B16&amp;", ","")&amp;IF((XXX_I!C17="DC")*(XXX_I!E17&lt;&gt;0),XXX_I!B17&amp;", ","")&amp;IF((XXX_I!C18="DC")*(XXX_I!E18&lt;&gt;0),XXX_I!B18&amp;", ","")&amp;IF((XXX_I!C19="DC")*(XXX_I!E19&lt;&gt;0),XXX_I!B19&amp;", ","")&amp;IF((XXX_I!C20="DC")*(XXX_I!E20&lt;&gt;0),XXX_I!B20&amp;", ","")&amp;IF((XXX_I!C21="DC")*(XXX_I!E21&lt;&gt;0),XXX_I!B21&amp;", ","")&amp;IF((XXX_I!C22="DC")*(XXX_I!E22&lt;&gt;0),XXX_I!B22&amp;", ","")&amp;IF((XXX_I!C23="DC")*(XXX_I!E23&lt;&gt;0),XXX_I!B23&amp;", ","")&amp;IF((XXX_I!C24="DC")*(XXX_I!E24&lt;&gt;0),XXX_I!B24&amp;", ","")&amp;IF((XXX_I!C25="DC")*(XXX_I!E25&lt;&gt;0),XXX_I!B25&amp;", ","")&amp;IF((XXX_I!C26="DC")*(XXX_I!E26&lt;&gt;0),XXX_I!B26&amp;", ","")&amp;IF((XXX_I!C27="DC")*(XXX_I!E27&lt;&gt;0),XXX_I!B27&amp;", ","")&amp;IF((XXX_I!C28="DC")*(XXX_I!E28&lt;&gt;0),XXX_I!B28&amp;", ","")&amp;IF((XXX_I!C29="DC")*(XXX_I!E29&lt;&gt;0),XXX_I!B29&amp;", ","")&amp;IF((XXX_I!C30="DC")*(XXX_I!E30&lt;&gt;0),XXX_I!B30&amp;", ","")&amp;IF((XXX_I!C31="DC")*(XXX_I!E31&lt;&gt;0),XXX_I!B31&amp;", ","")&amp;IF((XXX_I!C32="DC")*(XXX_I!E32&lt;&gt;0),XXX_I!B32&amp;", ","")&amp;IF((XXX_I!C33="DC")*(XXX_I!E33&lt;&gt;0),XXX_I!B33&amp;", ","")&amp;IF((XXX_I!C34="DC")*(XXX_I!E34&lt;&gt;0),XXX_I!B34&amp;", ","")&amp;IF((XXX_I!C35="DC")*(XXX_I!E35&lt;&gt;0),XXX_I!B35&amp;", ","")&amp;IF((XXX_I!C36="DC")*(XXX_I!E36&lt;&gt;0),XXX_I!B36&amp;", ","")&amp;IF((XXX_I!C37="DC")*(XXX_I!E37&lt;&gt;0),XXX_I!B37&amp;", ","")&amp;IF((XXX_I!C38="DC")*(XXX_I!E38&lt;&gt;0),XXX_I!B38&amp;", ","")&amp;IF((XXX_I!C39="DC")*(XXX_I!E39&lt;&gt;0),XXX_I!B39&amp;", ","")&amp;IF((XXX_I!C40="DC")*(XXX_I!E40&lt;&gt;0),XXX_I!B40&amp;", ","")&amp;IF((XXX_I!C41="DC")*(XXX_I!E41&lt;&gt;0),XXX_I!B41&amp;", ","")&amp;IF((XXX_I!C42="DC")*(XXX_I!E42&lt;&gt;0),XXX_I!B42&amp;", ","")&amp;IF((XXX_I!C43="DC")*(XXX_I!E43&lt;&gt;0),XXX_I!B47&amp;", ","")&amp;IF((XXX_I!C44="DC")*(XXX_I!E44&lt;&gt;0),XXX_I!B44&amp;", ","")&amp;IF((XXX_I!C45="DC")*(XXX_I!E45&lt;&gt;0),XXX_I!B45&amp;", ","")&amp;IF((XXX_I!C46="DC")*(XXX_I!E46&lt;&gt;0),XXX_I!B46&amp;", ","")&amp;IF((XXX_I!C47="DC")*(XXX_I!E47&lt;&gt;0),XXX_I!B47&amp;", ","")&amp;IF((XXX_I!C48="DC")*(XXX_I!E48&lt;&gt;0),XXX_I!B48&amp;", ","")</f>
        <v xml:space="preserve">D35ROBL107, D35ROBL207, D35ROBL208, D35ROBL209, </v>
      </c>
      <c r="C43" s="352">
        <f>IF(XXX_I!F7&lt;&gt;0,XXX_I!F7*(SUMIFS(XXX_I!F12:F48,XXX_I!C12:C48,"=DC",XXX_I!E12:E48,"&lt;&gt;0",XXX_I!D12:D48,"&lt;&gt;DFac")+SUMIFS(XXX_I!G12:G48,XXX_I!C12:C48,"=DC",XXX_I!E12:E48,"&lt;&gt;0",XXX_I!D12:D48,"&lt;&gt;DFac")+SUMIFS(XXX_I!H12:H48,XXX_I!C12:C48,"=DC",XXX_I!E12:E48,"&lt;&gt;0",XXX_I!D12:D48,"&lt;&gt;DFac")+SUMIFS(XXX_I!I12:I48,XXX_I!C12:C48,"=DC",XXX_I!E12:E48,"&lt;&gt;0",XXX_I!D12:D48,"&lt;&gt;DFac")),14*(SUMIFS(XXX_I!F12:F48,XXX_I!C12:C48,"=DC",XXX_I!E12:E48,"&lt;&gt;0",XXX_I!D12:D48,"&lt;&gt;DFac")+SUMIFS(XXX_I!G12:G48,XXX_I!C12:C48,"=DC",XXX_I!E12:E48,"&lt;&gt;0",XXX_I!D12:D48,"&lt;&gt;DFac")+SUMIFS(XXX_I!H12:H48,XXX_I!C12:C48,"=DC",XXX_I!E12:E48,"&lt;&gt;0",XXX_I!D12:D48,"&lt;&gt;DFac")+SUMIFS(XXX_I!I12:I48,XXX_I!C12:C48,"=DC",XXX_I!E12:E48,"&lt;&gt;0",XXX_I!D12:D48,"&lt;&gt;DFac")))+IF(XXX_I!L7&lt;&gt;0,XXX_I!L7*(SUMIFS(XXX_I!L12:L48,XXX_I!C12:C48,"=DC",XXX_I!E12:E48,"&lt;&gt;0",XXX_I!D12:D48,"&lt;&gt;DFac")+SUMIFS(XXX_I!M12:M48,XXX_I!C12:C48,"=DC",XXX_I!E12:E48,"&lt;&gt;0",XXX_I!D12:D48,"&lt;&gt;DFac")+SUMIFS(XXX_I!N12:N48,XXX_I!C12:C48,"=DC",XXX_I!E12:E48,"&lt;&gt;0",XXX_I!D12:D48,"&lt;&gt;DFac")+SUMIFS(XXX_I!O12:O48,XXX_I!C12:C48,"=DC",XXX_I!E12:E48,"&lt;&gt;0",XXX_I!D12:D48,"&lt;&gt;DFac")),14*(SUMIFS(XXX_I!L12:L48,XXX_I!C12:C48,"=DC",XXX_I!E12:E48,"&lt;&gt;0",XXX_I!D12:D48,"&lt;&gt;DFac")+SUMIFS(XXX_I!M12:M48,XXX_I!C12:C48,"=DC",XXX_I!E12:E48,"&lt;&gt;0",XXX_I!D12:D48,"&lt;&gt;DFac")+SUMIFS(XXX_I!N12:N48,XXX_I!C12:C48,"=DC",XXX_I!E12:E48,"&lt;&gt;0",XXX_I!D12:D48,"&lt;&gt;DFac")+SUMIFS(XXX_I!O12:O48,XXX_I!C12:C48,"=DC",XXX_I!E12:E48,"&lt;&gt;0",XXX_I!D12:D48,"&lt;&gt;DFac")))</f>
        <v>84</v>
      </c>
      <c r="D43" s="216"/>
      <c r="E43" s="217"/>
      <c r="F43" s="218"/>
      <c r="G43" s="188"/>
      <c r="H43" s="189"/>
      <c r="I43" s="212"/>
      <c r="K43" s="184"/>
      <c r="L43" s="333"/>
    </row>
    <row r="44" spans="1:12" x14ac:dyDescent="0.25">
      <c r="A44" s="185"/>
      <c r="B44" s="346"/>
      <c r="I44" s="212"/>
      <c r="K44" s="195"/>
      <c r="L44" s="335"/>
    </row>
    <row r="45" spans="1:12" x14ac:dyDescent="0.25">
      <c r="C45" s="347">
        <f>SUM(C40:C44)</f>
        <v>756</v>
      </c>
      <c r="I45" s="212"/>
    </row>
    <row r="46" spans="1:12" ht="15.75" thickBot="1" x14ac:dyDescent="0.3">
      <c r="A46" s="166" t="s">
        <v>52</v>
      </c>
      <c r="D46" s="167"/>
      <c r="E46" s="167"/>
      <c r="F46" s="167"/>
      <c r="G46" s="167"/>
      <c r="H46" s="167"/>
      <c r="I46" s="212"/>
    </row>
    <row r="47" spans="1:12" s="172" customFormat="1" ht="15.75" thickBot="1" x14ac:dyDescent="0.3">
      <c r="A47" s="170" t="s">
        <v>18</v>
      </c>
      <c r="B47" s="340" t="s">
        <v>17</v>
      </c>
      <c r="C47" s="349" t="s">
        <v>24</v>
      </c>
      <c r="D47" s="170" t="s">
        <v>16</v>
      </c>
      <c r="E47" s="549" t="s">
        <v>26</v>
      </c>
      <c r="F47" s="550"/>
      <c r="G47" s="551" t="s">
        <v>25</v>
      </c>
      <c r="H47" s="552"/>
      <c r="I47" s="219"/>
      <c r="J47" s="355"/>
      <c r="L47" s="336"/>
    </row>
    <row r="48" spans="1:12" ht="90" x14ac:dyDescent="0.25">
      <c r="A48" s="173" t="s">
        <v>48</v>
      </c>
      <c r="B48" s="341" t="str">
        <f>IF((XXX_I!D12="DI")*(XXX_I!E12&lt;&gt;0),XXX_I!B12&amp;", ","")&amp;IF((XXX_I!D13="DI")*(XXX_I!E13&lt;&gt;0),XXX_I!B13&amp;", ","")&amp;IF((XXX_I!D14="DI")*(XXX_I!E14&lt;&gt;0),XXX_I!B14&amp;", ","")&amp;IF((XXX_I!D15="DI")*(XXX_I!E15&lt;&gt;0),XXX_I!B15&amp;", ","")&amp;IF((XXX_I!D16="DI")*(XXX_I!E16&lt;&gt;0),XXX_I!B16&amp;", ","")&amp;IF((XXX_I!D17="DI")*(XXX_I!E17&lt;&gt;0),XXX_I!B17&amp;", ","")&amp;IF((XXX_I!D18="DI")*(XXX_I!E18&lt;&gt;0),XXX_I!B18&amp;", ","")&amp;IF((XXX_I!D19="DI")*(XXX_I!E19&lt;&gt;0),XXX_I!B19&amp;", ","")&amp;IF((XXX_I!D20="DI")*(XXX_I!E20&lt;&gt;0),XXX_I!B20&amp;", ","")&amp;IF((XXX_I!D21="DI")*(XXX_I!E21&lt;&gt;0),XXX_I!B21&amp;", ","")&amp;IF((XXX_I!D22="DI")*(XXX_I!E22&lt;&gt;0),XXX_I!B22&amp;", ","")&amp;IF((XXX_I!D23="DI")*(XXX_I!E23&lt;&gt;0),XXX_I!B23&amp;", ","")&amp;IF((XXX_I!D24="DI")*(XXX_I!E24&lt;&gt;0),XXX_I!B24&amp;", ","")&amp;IF((XXX_I!D25="DI")*(XXX_I!E25&lt;&gt;0),XXX_I!B25&amp;", ","")&amp;IF((XXX_I!D26="DI")*(XXX_I!E26&lt;&gt;0),XXX_I!B26&amp;", ","")&amp;IF((XXX_I!D27="DI")*(XXX_I!E27&lt;&gt;0),XXX_I!B27&amp;", ","")&amp;IF((XXX_I!D28="DI")*(XXX_I!E28&lt;&gt;0),XXX_I!B28&amp;", ","")&amp;IF((XXX_I!D29="DI")*(XXX_I!E29&lt;&gt;0),XXX_I!B29&amp;", ","")&amp;IF((XXX_I!D30="DI")*(XXX_I!E30&lt;&gt;0),XXX_I!B30&amp;", ","")&amp;IF((XXX_I!D31="DI")*(XXX_I!E31&lt;&gt;0),XXX_I!B31&amp;", ","")&amp;IF((XXX_I!D32="DI")*(XXX_I!E32&lt;&gt;0),XXX_I!B32&amp;", ","")&amp;IF((XXX_I!D33="DI")*(XXX_I!E33&lt;&gt;0),XXX_I!B33&amp;", ","")&amp;IF((XXX_I!D34="DI")*(XXX_I!E34&lt;&gt;0),XXX_I!B34&amp;", ","")&amp;IF((XXX_I!D35="DI")*(XXX_I!E35&lt;&gt;0),XXX_I!B35&amp;", ","")&amp;IF((XXX_I!D36="DI")*(XXX_I!E36&lt;&gt;0),XXX_I!B36&amp;", ","")&amp;IF((XXX_I!D37="DI")*(XXX_I!E37&lt;&gt;0),XXX_I!B37&amp;", ","")&amp;IF((XXX_I!D38="DI")*(XXX_I!E38&lt;&gt;0),XXX_I!B38&amp;", ","")&amp;IF((XXX_I!D39="DI")*(XXX_I!E39&lt;&gt;0),XXX_I!B39&amp;", ","")&amp;IF((XXX_I!D40="DI")*(XXX_I!E40&lt;&gt;0),XXX_I!B40&amp;", ","")&amp;IF((XXX_I!D41="DI")*(XXX_I!E41&lt;&gt;0),XXX_I!B41&amp;", ","")&amp;IF((XXX_I!D42="DI")*(XXX_I!E42&lt;&gt;0),XXX_I!B42&amp;", ","")&amp;IF((XXX_I!D43="DI")*(XXX_I!E43&lt;&gt;0),XXX_I!B43&amp;", ","")&amp;IF((XXX_I!D44="DI")*(XXX_I!E44&lt;&gt;0),XXX_I!B44&amp;", ","")&amp;IF((XXX_I!D45="DI")*(XXX_I!E45&lt;&gt;0),XXX_I!B45&amp;", ","")&amp;IF((XXX_I!D46="DI")*(XXX_I!E46&lt;&gt;0),XXX_I!B46&amp;", ","")&amp;IF((XXX_I!D47="DI")*(XXX_I!E47&lt;&gt;0),XXX_I!B47&amp;", ","")&amp;IF((XXX_I!D48="DI")*(XXX_I!E48&lt;&gt;0),XXX_I!B48&amp;", ","")</f>
        <v xml:space="preserve">D35ROBL101, D35ROBL102, D35ROBL103, D35ROBL104, D35ROBL105, D35ROBL106, D35ROBL107, D35ROBL201, D35ROBL202, D35ROBL203, D35ROBL204, D35ROBL205, D35ROBL206, D35ROBL207, D35ROBL208, D35ROBL209, </v>
      </c>
      <c r="C48" s="356">
        <f>IF(XXX_I!F7&lt;&gt;0,XXX_I!F7*(SUMIFS(XXX_I!F12:F48,XXX_I!D12:D48,"=DI",XXX_I!E12:E48,"&lt;&gt;0")+SUMIFS(XXX_I!G12:G48,XXX_I!D12:D48,"=DI",XXX_I!E12:E48,"&lt;&gt;0")+SUMIFS(XXX_I!H12:H48,XXX_I!D12:D48,"=DI",XXX_I!E12:E48,"&lt;&gt;0")+SUMIFS(XXX_I!I12:I48,XXX_I!D12:D48,"=DI",XXX_I!E12:E48,"&lt;&gt;0")),14*(SUMIFS(XXX_I!F12:F48,XXX_I!D12:D48,"=DI",XXX_I!E12:E48,"&lt;&gt;0")+SUMIFS(XXX_I!G12:G48,XXX_I!D12:D48,"=DI",XXX_I!E12:E48,"&lt;&gt;0")+SUMIFS(XXX_I!H12:H48,XXX_I!D12:D48,"=DI",XXX_I!E12:E48,"&lt;&gt;0")+SUMIFS(XXX_I!I12:I48,XXX_I!D12:D48,"=DI",XXX_I!E12:E48,"&lt;&gt;0")))+IF(XXX_I!L7&lt;&gt;0,XXX_I!L7*(SUMIFS(XXX_I!L12:L48,XXX_I!D12:D48,"=DI",XXX_I!E12:E48,"&lt;&gt;0")+SUMIFS(XXX_I!M12:M48,XXX_I!D12:D48,"=DI",XXX_I!E12:E48,"&lt;&gt;0")+SUMIFS(XXX_I!N12:N48,XXX_I!D12:D48,"=DI",XXX_I!E12:E48,"&lt;&gt;0")+SUMIFS(XXX_I!O12:O48,XXX_I!D12:D48,"=DI",XXX_I!E12:E48,"&lt;&gt;0")),14*(SUMIFS(XXX_I!L12:L48,XXX_I!D12:D48,"=DI",XXX_I!E12:E48,"&lt;&gt;0")+SUMIFS(XXX_I!M12:M48,XXX_I!D12:D48,"=DI",XXX_I!E12:E48,"&lt;&gt;0")+SUMIFS(XXX_I!N12:N48,XXX_I!D12:D48,"=DI",XXX_I!E12:E48,"&lt;&gt;0")+SUMIFS(XXX_I!O12:O48,XXX_I!D12:D48,"=DI",XXX_I!E12:E48,"&lt;&gt;0")))</f>
        <v>756</v>
      </c>
      <c r="D48" s="209"/>
      <c r="E48" s="210"/>
      <c r="F48" s="211"/>
      <c r="G48" s="175"/>
      <c r="H48" s="176"/>
      <c r="I48" s="212"/>
    </row>
    <row r="49" spans="1:17" x14ac:dyDescent="0.25">
      <c r="A49" s="178" t="s">
        <v>49</v>
      </c>
      <c r="B49" s="342" t="str">
        <f>IF((XXX_I!D12="DO")*(XXX_I!E12&lt;&gt;0),XXX_I!B12&amp;", ","")&amp;IF((XXX_I!D13="DO")*(XXX_I!E13&lt;&gt;0),XXX_I!B13&amp;", ","")&amp;IF((XXX_I!D14="DO")*(XXX_I!E14&lt;&gt;0),XXX_I!B14&amp;", ","")&amp;IF((XXX_I!D15="DO")*(XXX_I!E15&lt;&gt;0),XXX_I!B15&amp;", ","")&amp;IF((XXX_I!D16="DO")*(XXX_I!E16&lt;&gt;0),XXX_I!B16&amp;", ","")&amp;IF((XXX_I!D17="DO")*(XXX_I!E17&lt;&gt;0),XXX_I!B17&amp;", ","")&amp;IF((XXX_I!D18="DO")*(XXX_I!E18&lt;&gt;0),XXX_I!B18&amp;", ","")&amp;IF((XXX_I!D19="DO")*(XXX_I!E19&lt;&gt;0),XXX_I!B19&amp;", ","")&amp;IF((XXX_I!D20="DO")*(XXX_I!E20&lt;&gt;0),XXX_I!B20&amp;", ","")&amp;IF((XXX_I!D21="DO")*(XXX_I!E21&lt;&gt;0),XXX_I!B21&amp;", ","")&amp;IF((XXX_I!D22="DO")*(XXX_I!E22&lt;&gt;0),XXX_I!B22&amp;", ","")&amp;IF((XXX_I!D23="DO")*(XXX_I!E23&lt;&gt;0),XXX_I!B23&amp;", ","")&amp;IF((XXX_I!D24="DO")*(XXX_I!E24&lt;&gt;0),XXX_I!B24&amp;", ","")&amp;IF((XXX_I!D25="DO")*(XXX_I!E25&lt;&gt;0),XXX_I!B25&amp;", ","")&amp;IF((XXX_I!D26="DO")*(XXX_I!E26&lt;&gt;0),XXX_I!B26&amp;", ","")&amp;IF((XXX_I!D27="DO")*(XXX_I!E27&lt;&gt;0),XXX_I!B27&amp;", ","")&amp;IF((XXX_I!D28="DO")*(XXX_I!E28&lt;&gt;0),XXX_I!B28&amp;", ","")&amp;IF((XXX_I!D29="DO")*(XXX_I!E29&lt;&gt;0),XXX_I!B29&amp;", ","")&amp;IF((XXX_I!D30="DO")*(XXX_I!E30&lt;&gt;0),XXX_I!B30&amp;", ","")&amp;IF((XXX_I!D31="DO")*(XXX_I!E31&lt;&gt;0),XXX_I!B31&amp;", ","")&amp;IF((XXX_I!D32="DO")*(XXX_I!E32&lt;&gt;0),XXX_I!B32&amp;", ","")&amp;IF((XXX_I!D33="DO")*(XXX_I!E33&lt;&gt;0),XXX_I!B33&amp;", ","")&amp;IF((XXX_I!D34="DO")*(XXX_I!E34&lt;&gt;0),XXX_I!B34&amp;", ","")&amp;IF((XXX_I!D35="DO")*(XXX_I!E35&lt;&gt;0),XXX_I!B35&amp;", ","")&amp;IF((XXX_I!D36="DO")*(XXX_I!E36&lt;&gt;0),XXX_I!B36&amp;", ","")&amp;IF((XXX_I!D37="DO")*(XXX_I!E37&lt;&gt;0),XXX_I!B37&amp;", ","")&amp;IF((XXX_I!D38="DO")*(XXX_I!E38&lt;&gt;0),XXX_I!B38&amp;", ","")&amp;IF((XXX_I!D39="DO")*(XXX_I!E39&lt;&gt;0),XXX_I!B39&amp;", ","")&amp;IF((XXX_I!D40="DO")*(XXX_I!E40&lt;&gt;0),XXX_I!B40&amp;", ","")&amp;IF((XXX_I!D41="DO")*(XXX_I!E41&lt;&gt;0),XXX_I!B41&amp;", ","")&amp;IF((XXX_I!D42="DO")*(XXX_I!E42&lt;&gt;0),XXX_I!B42&amp;", ","")&amp;IF((XXX_I!D43="DO")*(XXX_I!E43&lt;&gt;0),XXX_I!B43&amp;", ","")&amp;IF((XXX_I!D44="DO")*(XXX_I!E44&lt;&gt;0),XXX_I!B44&amp;", ","")&amp;IF((XXX_I!D45="DO")*(XXX_I!E45&lt;&gt;0),XXX_I!B45&amp;", ","")&amp;IF((XXX_I!D46="DO")*(XXX_I!E46&lt;&gt;0),XXX_I!B46&amp;", ","")&amp;IF((XXX_I!D47="DO")*(XXX_I!E47&lt;&gt;0),XXX_I!B47&amp;", ","")&amp;IF((XXX_I!D48="DO")*(XXX_I!E48&lt;&gt;0),XXX_I!B48&amp;", ","")</f>
        <v/>
      </c>
      <c r="C49" s="353">
        <f>IF(XXX_I!F7&lt;&gt;0,XXX_I!F7*(SUMIFS(XXX_I!F12:F48,XXX_I!D12:D48,"=DO",XXX_I!E12:E48,"&lt;&gt;0")+SUMIFS(XXX_I!G12:G48,XXX_I!D12:D48,"=DO",XXX_I!E12:E48,"&lt;&gt;0")+SUMIFS(XXX_I!H12:H48,XXX_I!D12:D48,"=DO",XXX_I!E12:E48,"&lt;&gt;0")+SUMIFS(XXX_I!I12:I48,XXX_I!D12:D48,"=DO",XXX_I!E12:E48,"&lt;&gt;0")),14*(SUMIFS(XXX_I!F12:F48,XXX_I!D12:D48,"=DO",XXX_I!E12:E48,"&lt;&gt;0")+SUMIFS(XXX_I!G12:G48,XXX_I!D12:D48,"=DO",XXX_I!E12:E48,"&lt;&gt;0")+SUMIFS(XXX_I!H12:H48,XXX_I!D12:D48,"=DO",XXX_I!E12:E48,"&lt;&gt;0")+SUMIFS(XXX_I!I12:I48,XXX_I!D12:D48,"=DO",XXX_I!E12:E48,"&lt;&gt;0")))+IF(XXX_I!L7&lt;&gt;0,XXX_I!L7*(SUMIFS(XXX_I!L12:L48,XXX_I!D12:D48,"=DO",XXX_I!E12:E48,"&lt;&gt;0")+SUMIFS(XXX_I!M12:M48,XXX_I!D12:D48,"=DO",XXX_I!E12:E48,"&lt;&gt;0")+SUMIFS(XXX_I!N12:N48,XXX_I!D12:D48,"=DO",XXX_I!E12:E48,"&lt;&gt;0")+SUMIFS(XXX_I!O12:O48,XXX_I!D12:D48,"=DO",XXX_I!E12:E48,"&lt;&gt;0")),14*(SUMIFS(XXX_I!L12:L48,XXX_I!D12:D48,"=DO",XXX_I!E12:E48,"&lt;&gt;0")+SUMIFS(XXX_I!M12:M48,XXX_I!D12:D48,"=DO",XXX_I!E12:E48,"&lt;&gt;0")+SUMIFS(XXX_I!N12:N48,XXX_I!D12:D48,"=DO",XXX_I!E12:E48,"&lt;&gt;0")+SUMIFS(XXX_I!O12:O48,XXX_I!D12:D48,"=DO",XXX_I!E12:E48,"&lt;&gt;0")))</f>
        <v>0</v>
      </c>
      <c r="D49" s="197"/>
      <c r="E49" s="214"/>
      <c r="F49" s="215"/>
      <c r="G49" s="180"/>
      <c r="H49" s="181"/>
      <c r="I49" s="212"/>
    </row>
    <row r="50" spans="1:17" ht="15.75" thickBot="1" x14ac:dyDescent="0.3">
      <c r="A50" s="186" t="s">
        <v>50</v>
      </c>
      <c r="B50" s="343" t="str">
        <f>IF((XXX_I!D12="DFac")*(XXX_I!E12&lt;&gt;0),XXX_I!B12&amp;", ","")&amp;IF((XXX_I!D13="DFac")*(XXX_I!E13&lt;&gt;0),XXX_I!B13&amp;", ","")&amp;IF((XXX_I!D14="DFac")*(XXX_I!E14&lt;&gt;0),XXX_I!B14&amp;", ","")&amp;IF((XXX_I!D15="DFac")*(XXX_I!E15&lt;&gt;0),XXX_I!B15&amp;", ","")&amp;IF((XXX_I!D16="DFac")*(XXX_I!E16&lt;&gt;0),XXX_I!B16&amp;", ","")&amp;IF((XXX_I!D17="DFac")*(XXX_I!E17&lt;&gt;0),XXX_I!B17&amp;", ","")&amp;IF((XXX_I!D18="DFac")*(XXX_I!E18&lt;&gt;0),XXX_I!B18&amp;", ","")&amp;IF((XXX_I!D19="DFac")*(XXX_I!E19&lt;&gt;0),XXX_I!B19&amp;", ","")&amp;IF((XXX_I!D20="DFac")*(XXX_I!E20&lt;&gt;0),XXX_I!B20&amp;", ","")&amp;IF((XXX_I!D21="DFac")*(XXX_I!E21&lt;&gt;0),XXX_I!B21&amp;", ","")&amp;IF((XXX_I!D22="DFac")*(XXX_I!E22&lt;&gt;0),XXX_I!B22&amp;", ","")&amp;IF((XXX_I!D23="DFac")*(XXX_I!E23&lt;&gt;0),XXX_I!B23&amp;", ","")&amp;IF((XXX_I!D24="DFac")*(XXX_I!E24&lt;&gt;0),XXX_I!B24&amp;", ","")&amp;IF((XXX_I!D25="DFac")*(XXX_I!E25&lt;&gt;0),XXX_I!B25&amp;", ","")&amp;IF((XXX_I!D26="DFac")*(XXX_I!E26&lt;&gt;0),XXX_I!B26&amp;", ","")&amp;IF((XXX_I!D27="DFac")*(XXX_I!E27&lt;&gt;0),XXX_I!B27&amp;", ","")&amp;IF((XXX_I!D28="DFac")*(XXX_I!E28&lt;&gt;0),XXX_I!B28&amp;", ","")&amp;IF((XXX_I!D29="DFac")*(XXX_I!E29&lt;&gt;0),XXX_I!B29&amp;", ","")&amp;IF((XXX_I!D30="DFac")*(XXX_I!E30&lt;&gt;0),XXX_I!B30&amp;", ","")&amp;IF((XXX_I!D31="DFac")*(XXX_I!E31&lt;&gt;0),XXX_I!B31&amp;", ","")&amp;IF((XXX_I!D32="DFac")*(XXX_I!E32&lt;&gt;0),XXX_I!B32&amp;", ","")&amp;IF((XXX_I!D33="DFac")*(XXX_I!E33&lt;&gt;0),XXX_I!B33&amp;", ","")&amp;IF((XXX_I!D34="DFac")*(XXX_I!E34&lt;&gt;0),XXX_I!B34&amp;", ","")&amp;IF((XXX_I!D35="DFac")*(XXX_I!E35&lt;&gt;0),XXX_I!B35&amp;", ","")&amp;IF((XXX_I!D36="DFac")*(XXX_I!E36&lt;&gt;0),XXX_I!B36&amp;", ","")&amp;IF((XXX_I!D37="DFac")*(XXX_I!E37&lt;&gt;0),XXX_I!B37&amp;", ","")&amp;IF((XXX_I!D38="DFac")*(XXX_I!E38&lt;&gt;0),XXX_I!B38&amp;", ","")&amp;IF((XXX_I!D39="DFac")*(XXX_I!E39&lt;&gt;0),XXX_I!B39&amp;", ","")&amp;IF((XXX_I!D40="DFac")*(XXX_I!E40&lt;&gt;0),XXX_I!B40&amp;", ","")&amp;IF((XXX_I!D41="DFac")*(XXX_I!E41&lt;&gt;0),XXX_I!B41&amp;", ","")&amp;IF((XXX_I!D42="DFac")*(XXX_I!E42&lt;&gt;0),XXX_I!B42&amp;", ","")&amp;IF((XXX_I!D43="DFac")*(XXX_I!E43&lt;&gt;0),XXX_I!B43&amp;", ","")&amp;IF((XXX_I!D44="DFac")*(XXX_I!E44&lt;&gt;0),XXX_I!B44&amp;", ","")&amp;IF((XXX_I!D45="DFac")*(XXX_I!E45&lt;&gt;0),XXX_I!B45&amp;", ","")&amp;IF((XXX_I!D46="DFac")*(XXX_I!E46&lt;&gt;0),XXX_I!B46&amp;", ","")&amp;IF((XXX_I!D47="DFac")*(XXX_I!E47&lt;&gt;0),XXX_I!B47&amp;", ","")&amp;IF((XXX_I!D48="DFac")*(XXX_I!E48&lt;&gt;0),XXX_I!B48&amp;", ","")</f>
        <v/>
      </c>
      <c r="C50" s="357">
        <f>IF(XXX_I!F7&lt;&gt;0,XXX_I!F7*(SUMIFS(XXX_I!F12:F48,XXX_I!D12:D48,"=DFac",XXX_I!E12:E48,"&gt;=0")+SUMIFS(XXX_I!G12:G48,XXX_I!D12:D48,"=DFac",XXX_I!E12:E48,"&gt;=0")+SUMIFS(XXX_I!H12:H48,XXX_I!D12:D48,"=DFac",XXX_I!E12:E48,"&gt;=0")+SUMIFS(XXX_I!I12:I48,XXX_I!D12:D48,"=DFac",XXX_I!E12:E48,"&gt;=0")),14*(SUMIFS(XXX_I!F12:F48,XXX_I!D12:D48,"=DFac",XXX_I!E12:E48,"&gt;=0")+SUMIFS(XXX_I!G12:G48,XXX_I!D12:D48,"=DFac",XXX_I!E12:E48,"&gt;=0")+SUMIFS(XXX_I!H12:H48,XXX_I!D12:D48,"=DFac",XXX_I!E12:E48,"&gt;=0")+SUMIFS(XXX_I!I12:I48,XXX_I!D12:D48,"=DFac",XXX_I!E12:E48,"&gt;=0")))+IF(XXX_I!L7&lt;&gt;0,XXX_I!L7*(SUMIFS(XXX_I!L12:L48,XXX_I!D12:D48,"=DFac",XXX_I!E12:E48,"&gt;=0")+SUMIFS(XXX_I!M12:M48,XXX_I!D12:D48,"=DFac",XXX_I!E12:E48,"&gt;=0")+SUMIFS(XXX_I!N12:N48,XXX_I!D12:D48,"=DFac",XXX_I!E12:E48,"&gt;=0")+SUMIFS(XXX_I!O12:O48,XXX_I!D12:D48,"=DFac",XXX_I!E12:E48,"&gt;=0")),14*(SUMIFS(XXX_I!L12:L48,XXX_I!D12:D48,"=DFac",XXX_I!E12:E48,"&gt;=0")+SUMIFS(XXX_I!M12:M48,XXX_I!D12:D48,"=DFac",XXX_I!E12:E48,"&gt;=0")+SUMIFS(XXX_I!N12:N48,XXX_I!D12:D48,"=DFac",XXX_I!E12:E48,"&gt;=0")+SUMIFS(XXX_I!O12:O48,XXX_I!D12:D48,"=DFac",XXX_I!E12:E48,"&gt;=0")))</f>
        <v>112</v>
      </c>
      <c r="D50" s="220"/>
      <c r="E50" s="217"/>
      <c r="F50" s="218"/>
      <c r="G50" s="221"/>
      <c r="H50" s="222"/>
      <c r="I50" s="212"/>
    </row>
    <row r="52" spans="1:17" x14ac:dyDescent="0.25">
      <c r="C52" s="347">
        <f>SUM(C48:C49)</f>
        <v>756</v>
      </c>
    </row>
    <row r="53" spans="1:17" ht="18.75" x14ac:dyDescent="0.3">
      <c r="B53" s="358" t="s">
        <v>29</v>
      </c>
    </row>
    <row r="54" spans="1:17" ht="30" x14ac:dyDescent="0.25">
      <c r="C54" s="354"/>
      <c r="D54" s="163"/>
      <c r="E54" s="163"/>
      <c r="F54" s="206" t="s">
        <v>27</v>
      </c>
      <c r="G54" s="207"/>
      <c r="H54" s="208"/>
    </row>
    <row r="55" spans="1:17" x14ac:dyDescent="0.25">
      <c r="A55" s="166" t="s">
        <v>19</v>
      </c>
      <c r="D55" s="167"/>
      <c r="E55" s="167"/>
      <c r="F55" s="167"/>
      <c r="G55" s="163"/>
      <c r="H55" s="163"/>
    </row>
    <row r="56" spans="1:17" ht="15.75" thickBot="1" x14ac:dyDescent="0.3">
      <c r="D56" s="167"/>
      <c r="E56" s="167"/>
      <c r="F56" s="167"/>
      <c r="G56" s="167"/>
      <c r="H56" s="167"/>
    </row>
    <row r="57" spans="1:17" ht="15.75" thickBot="1" x14ac:dyDescent="0.3">
      <c r="A57" s="170" t="s">
        <v>18</v>
      </c>
      <c r="B57" s="340" t="s">
        <v>17</v>
      </c>
      <c r="C57" s="349" t="s">
        <v>24</v>
      </c>
      <c r="D57" s="170" t="s">
        <v>16</v>
      </c>
      <c r="E57" s="549" t="s">
        <v>26</v>
      </c>
      <c r="F57" s="550"/>
      <c r="G57" s="551" t="s">
        <v>25</v>
      </c>
      <c r="H57" s="552"/>
    </row>
    <row r="58" spans="1:17" x14ac:dyDescent="0.25">
      <c r="A58" s="173" t="s">
        <v>44</v>
      </c>
      <c r="B58" s="341" t="str">
        <f>IF((XXX_II!C12="DF")*(XXX_II!E12&lt;&gt;0),XXX_II!B12&amp;", ","")&amp;IF((XXX_II!C13="DF")*(XXX_II!E13&lt;&gt;0),XXX_II!B13&amp;", ","")&amp;IF((XXX_II!C14="DF")*(XXX_II!E14&lt;&gt;0),XXX_II!B14&amp;", ","")&amp;IF((XXX_II!C15="DF")*(XXX_II!E15&lt;&gt;0),XXX_II!B15&amp;", ","")&amp;IF((XXX_II!C16="DF")*(XXX_II!E16&lt;&gt;0),XXX_II!B16&amp;", ","")&amp;IF((XXX_II!C17="DF")*(XXX_II!E17&lt;&gt;0),XXX_II!B17&amp;", ","")&amp;IF((XXX_II!C18="DF")*(XXX_II!E18&lt;&gt;0),XXX_II!B18&amp;", ","")&amp;IF((XXX_II!C19="DF")*(XXX_II!E19&lt;&gt;0),XXX_II!B19&amp;", ","")&amp;IF((XXX_II!C20="DF")*(XXX_II!E20&lt;&gt;0),XXX_II!B20&amp;", ","")&amp;IF((XXX_II!C21="DF")*(XXX_II!E21&lt;&gt;0),XXX_II!B21&amp;", ","")&amp;IF((XXX_II!C22="DF")*(XXX_II!E22&lt;&gt;0),XXX_II!B22&amp;", ","")&amp;IF((XXX_II!C23="DF")*(XXX_II!E23&lt;&gt;0),XXX_II!B23&amp;", ","")&amp;IF((XXX_II!C24="DF")*(XXX_II!E24&lt;&gt;0),XXX_II!B24&amp;", ","")&amp;IF((XXX_II!C25="DF")*(XXX_II!E25&lt;&gt;0),XXX_II!B25&amp;", ","")&amp;IF((XXX_II!C26="DF")*(XXX_II!E26&lt;&gt;0),XXX_II!B26&amp;", ","")&amp;IF((XXX_II!C27="DF")*(XXX_II!E27&lt;&gt;0),XXX_II!B27&amp;", ","")&amp;IF((XXX_II!C28="DF")*(XXX_II!E28&lt;&gt;0),XXX_II!B28&amp;", ","")&amp;IF((XXX_II!C29="DF")*(XXX_II!E29&lt;&gt;0),XXX_II!B29&amp;", ","")&amp;IF((XXX_II!C30="DF")*(XXX_II!E30&lt;&gt;0),XXX_II!B30&amp;", ","")&amp;IF((XXX_II!C31="DF")*(XXX_II!E31&lt;&gt;0),XXX_II!B31&amp;", ","")&amp;IF((XXX_II!C32="DF")*(XXX_II!E32&lt;&gt;0),XXX_II!B32&amp;", ","")&amp;IF((XXX_II!C33="DF")*(XXX_II!E33&lt;&gt;0),XXX_II!B33&amp;", ","")&amp;IF((XXX_II!C34="DF")*(XXX_II!E34&lt;&gt;0),XXX_II!B34&amp;", ","")&amp;IF((XXX_II!C35="DF")*(XXX_II!E35&lt;&gt;0),XXX_II!B35&amp;", ","")&amp;IF((XXX_II!C36="DF")*(XXX_II!E36&lt;&gt;0),XXX_II!B36&amp;", ","")&amp;IF((XXX_II!C37="DF")*(XXX_II!E37&lt;&gt;0),XXX_II!B37&amp;", ","")&amp;IF((XXX_II!C38="DF")*(XXX_II!E38&lt;&gt;0),XXX_II!B38&amp;", ","")&amp;IF((XXX_II!C39="DF")*(XXX_II!E39&lt;&gt;0),XXX_II!B39&amp;", ","")&amp;IF((XXX_II!C40="DF")*(XXX_II!E40&lt;&gt;0),XXX_II!B40&amp;", ","")&amp;IF((XXX_II!C41="DF")*(XXX_II!E41&lt;&gt;0),XXX_II!B41&amp;", ","")&amp;IF((XXX_II!C42="DF")*(XXX_II!E42&lt;&gt;0),XXX_II!B42&amp;", ","")&amp;IF((XXX_II!C43="DF")*(XXX_II!E43&lt;&gt;0),XXX_II!B47&amp;", ","")&amp;IF((XXX_II!C44="DF")*(XXX_II!E44&lt;&gt;0),XXX_II!B44&amp;", ","")&amp;IF((XXX_II!C45="DF")*(XXX_II!E45&lt;&gt;0),XXX_II!B45&amp;", ","")&amp;IF((XXX_II!C46="DF")*(XXX_II!E46&lt;&gt;0),XXX_II!B46&amp;", ","")&amp;IF((XXX_II!C47="DF")*(XXX_II!E47&lt;&gt;0),XXX_II!B47&amp;", ","")&amp;IF((XXX_II!C48="DF")*(XXX_II!E48&lt;&gt;0),XXX_II!B48&amp;", ","")</f>
        <v xml:space="preserve">D35ROBL306, D35ROBL402, </v>
      </c>
      <c r="C58" s="350">
        <f>IF(XXX_II!F7&lt;&gt;0,XXX_II!F7*(SUMIFS(XXX_II!F12:F48,XXX_II!C12:C48,"=DF",XXX_II!E12:E48,"&lt;&gt;0",XXX_II!D12:D48,"&lt;&gt;DFac")+SUMIFS(XXX_II!G12:G48,XXX_II!C12:C48,"=DF",XXX_II!E12:E48,"&lt;&gt;0",XXX_II!D12:D48,"&lt;&gt;DFac")+SUMIFS(XXX_II!H12:H48,XXX_II!C12:C48,"=DF",XXX_II!E12:E48,"&lt;&gt;0",XXX_II!D12:D48,"&lt;&gt;DFac")+SUMIFS(XXX_II!I12:I48,XXX_II!C12:C48,"=DF",XXX_II!E12:E48,"&lt;&gt;0",XXX_II!D12:D48,"&lt;&gt;DFac")),14*(SUMIFS(XXX_II!F12:F48,XXX_II!C12:C48,"=DF",XXX_II!E12:E48,"&lt;&gt;0",XXX_II!D12:D48,"&lt;&gt;DFac")+SUMIFS(XXX_II!G12:G48,XXX_II!C12:C48,"=DF",XXX_II!E12:E48,"&lt;&gt;0",XXX_II!D12:D48,"&lt;&gt;DFac")+SUMIFS(XXX_II!H12:H48,XXX_II!C12:C48,"=DF",XXX_II!E12:E48,"&lt;&gt;0",XXX_II!D12:D48,"&lt;&gt;DFac")+SUMIFS(XXX_II!I12:I48,XXX_II!C12:C48,"=DF",XXX_II!E12:E48,"&lt;&gt;0",XXX_II!D12:D48,"&lt;&gt;DFac")))+IF(XXX_II!L7&lt;&gt;0,XXX_II!L7*(SUMIFS(XXX_II!L12:L48,XXX_II!C12:C48,"=DF",XXX_II!E12:E48,"&lt;&gt;0",XXX_II!D12:D48,"&lt;&gt;DFac")+SUMIFS(XXX_II!M12:M48,XXX_II!C12:C48,"=DF",XXX_II!E12:E48,"&lt;&gt;0",XXX_II!D12:D48,"&lt;&gt;DFac")+SUMIFS(XXX_II!N12:N48,XXX_II!C12:C48,"=DF",XXX_II!E12:E48,"&lt;&gt;0",XXX_II!D12:D48,"&lt;&gt;DFac")+SUMIFS(XXX_II!O12:O48,XXX_II!C12:C48,"=DF",XXX_II!E12:E48,"&lt;&gt;0",XXX_II!D12:D48,"&lt;&gt;DFac")),14*(SUMIFS(XXX_II!L12:L48,XXX_II!C12:C48,"=DF",XXX_II!E12:E48,"&lt;&gt;0",XXX_II!D12:D48,"&lt;&gt;DFac")+SUMIFS(XXX_II!M12:M48,XXX_II!C12:C48,"=DF",XXX_II!E12:E48,"&lt;&gt;0",XXX_II!D12:D48,"&lt;&gt;DFac")+SUMIFS(XXX_II!N12:N48,XXX_II!C12:C48,"=DF",XXX_II!E12:E48,"&lt;&gt;0",XXX_II!D12:D48,"&lt;&gt;DFac")+SUMIFS(XXX_II!O12:O48,XXX_II!C12:C48,"=DF",XXX_II!E12:E48,"&lt;&gt;0",XXX_II!D12:D48,"&lt;&gt;DFac")))</f>
        <v>112</v>
      </c>
      <c r="D58" s="209"/>
      <c r="E58" s="210"/>
      <c r="F58" s="211"/>
      <c r="G58" s="175"/>
      <c r="H58" s="176"/>
    </row>
    <row r="59" spans="1:17" ht="45" x14ac:dyDescent="0.25">
      <c r="A59" s="178" t="s">
        <v>45</v>
      </c>
      <c r="B59" s="342" t="str">
        <f>IF((XXX_II!C12="DD")*(XXX_II!E12&lt;&gt;0),XXX_II!B12&amp;", ","")&amp;IF((XXX_II!C13="DD")*(XXX_II!E13&lt;&gt;0),XXX_II!B13&amp;", ","")&amp;IF((XXX_II!C14="DD")*(XXX_II!E14&lt;&gt;0),XXX_II!B14&amp;", ","")&amp;IF((XXX_II!C15="DD")*(XXX_II!E15&lt;&gt;0),XXX_II!B15&amp;", ","")&amp;IF((XXX_II!C16="DD")*(XXX_II!E16&lt;&gt;0),XXX_II!B16&amp;", ","")&amp;IF((XXX_II!C17="DD")*(XXX_II!E17&lt;&gt;0),XXX_II!B17&amp;", ","")&amp;IF((XXX_II!C18="DD")*(XXX_II!E18&lt;&gt;0),XXX_II!B18&amp;", ","")&amp;IF((XXX_II!C19="DD")*(XXX_II!E19&lt;&gt;0),XXX_II!B19&amp;", ","")&amp;IF((XXX_II!C20="DD")*(XXX_II!E20&lt;&gt;0),XXX_II!B20&amp;", ","")&amp;IF((XXX_II!C21="DD")*(XXX_II!E21&lt;&gt;0),XXX_II!B21&amp;", ","")&amp;IF((XXX_II!C22="DD")*(XXX_II!E22&lt;&gt;0),XXX_II!B22&amp;", ","")&amp;IF((XXX_II!C23="DD")*(XXX_II!E23&lt;&gt;0),XXX_II!B23&amp;", ","")&amp;IF((XXX_II!C24="DD")*(XXX_II!E24&lt;&gt;0),XXX_II!B24&amp;", ","")&amp;IF((XXX_II!C25="DD")*(XXX_II!E25&lt;&gt;0),XXX_II!B25&amp;", ","")&amp;IF((XXX_II!C26="DD")*(XXX_II!E26&lt;&gt;0),XXX_II!B26&amp;", ","")&amp;IF((XXX_II!C27="DD")*(XXX_II!E27&lt;&gt;0),XXX_II!B27&amp;", ","")&amp;IF((XXX_II!C28="DD")*(XXX_II!E28&lt;&gt;0),XXX_II!B28&amp;", ","")&amp;IF((XXX_II!C29="DD")*(XXX_II!E29&lt;&gt;0),XXX_II!B29&amp;", ","")&amp;IF((XXX_II!C30="DD")*(XXX_II!E30&lt;&gt;0),XXX_II!B30&amp;", ","")&amp;IF((XXX_II!C31="DD")*(XXX_II!E31&lt;&gt;0),XXX_II!B31&amp;", ","")&amp;IF((XXX_II!C32="DD")*(XXX_II!E32&lt;&gt;0),XXX_II!B32&amp;", ","")&amp;IF((XXX_II!C33="DD")*(XXX_II!E33&lt;&gt;0),XXX_II!B33&amp;", ","")&amp;IF((XXX_II!C34="DD")*(XXX_II!E34&lt;&gt;0),XXX_II!B34&amp;", ","")&amp;IF((XXX_II!C35="DD")*(XXX_II!E35&lt;&gt;0),XXX_II!B35&amp;", ","")&amp;IF((XXX_II!C36="DD")*(XXX_II!E36&lt;&gt;0),XXX_II!B36&amp;", ","")&amp;IF((XXX_II!C37="DD")*(XXX_II!E37&lt;&gt;0),XXX_II!B37&amp;", ","")&amp;IF((XXX_II!C38="DD")*(XXX_II!E38&lt;&gt;0),XXX_II!B38&amp;", ","")&amp;IF((XXX_II!C39="DD")*(XXX_II!E39&lt;&gt;0),XXX_II!B39&amp;", ","")&amp;IF((XXX_II!C40="DD")*(XXX_II!E40&lt;&gt;0),XXX_II!B40&amp;", ","")&amp;IF((XXX_II!C41="DD")*(XXX_II!E41&lt;&gt;0),XXX_II!B41&amp;", ","")&amp;IF((XXX_II!C42="DD")*(XXX_II!E42&lt;&gt;0),XXX_II!B42&amp;", ","")&amp;IF((XXX_II!C43="DD")*(XXX_II!E43&lt;&gt;0),XXX_II!B47&amp;", ","")&amp;IF((XXX_II!C44="DD")*(XXX_II!E44&lt;&gt;0),XXX_II!B44&amp;", ","")&amp;IF((XXX_II!C45="DD")*(XXX_II!E45&lt;&gt;0),XXX_II!B45&amp;", ","")&amp;IF((XXX_II!C46="DD")*(XXX_II!E46&lt;&gt;0),XXX_II!B46&amp;", ","")&amp;IF((XXX_II!C47="DD")*(XXX_II!E47&lt;&gt;0),XXX_II!B47&amp;", ","")&amp;IF((XXX_II!C48="DD")*(XXX_II!E48&lt;&gt;0),XXX_II!B48&amp;", ","")</f>
        <v xml:space="preserve">D35ROBL301, D35ROBL303, D35ROBL401, D35ROBL403, D35ROBL404, D35ROBL405, D35ROBL408, </v>
      </c>
      <c r="C59" s="351">
        <f>IF(XXX_II!F7&lt;&gt;0,XXX_II!F7*(SUMIFS(XXX_II!F12:F48,XXX_II!C12:C48,"=DD",XXX_II!E12:E48,"&lt;&gt;0",XXX_II!D12:D48,"&lt;&gt;DFac")+SUMIFS(XXX_II!G12:G48,XXX_II!C12:C48,"=DD",XXX_II!E12:E48,"&lt;&gt;0",XXX_II!D12:D48,"&lt;&gt;DFac")+SUMIFS(XXX_II!H12:H48,XXX_II!C12:C48,"=DD",XXX_II!E12:E48,"&lt;&gt;0",XXX_II!D12:D48,"&lt;&gt;DFac")+SUMIFS(XXX_II!I12:I48,XXX_II!C12:C48,"=DD",XXX_II!E12:E48,"&lt;&gt;0",XXX_II!D12:D48,"&lt;&gt;DFac")),14*(SUMIFS(XXX_II!F12:F48,XXX_II!C12:C48,"=DD",XXX_II!E12:E48,"&lt;&gt;0",XXX_II!D12:D48,"&lt;&gt;DFac")+SUMIFS(XXX_II!G12:G48,XXX_II!C12:C48,"=DD",XXX_II!E12:E48,"&lt;&gt;0",XXX_II!D12:D48,"&lt;&gt;DFac")+SUMIFS(XXX_II!H12:H48,XXX_II!C12:C48,"=DD",XXX_II!E12:E48,"&lt;&gt;0",XXX_II!D12:D48,"&lt;&gt;DFac")+SUMIFS(XXX_II!I12:I48,XXX_II!C12:C48,"=DD",XXX_II!E12:E48,"&lt;&gt;0",XXX_II!D12:D48,"&lt;&gt;DFac")))+IF(XXX_II!L7&lt;&gt;0,XXX_II!L7*(SUMIFS(XXX_II!L12:L48,XXX_II!C12:C48,"=DD",XXX_II!E12:E48,"&lt;&gt;0",XXX_II!D12:D48,"&lt;&gt;DFac")+SUMIFS(XXX_II!M12:M48,XXX_II!C12:C48,"=DD",XXX_II!E12:E48,"&lt;&gt;0",XXX_II!D12:D48,"&lt;&gt;DFac")+SUMIFS(XXX_II!N12:N48,XXX_II!C12:C48,"=DD",XXX_II!E12:E48,"&lt;&gt;0",XXX_II!D12:D48,"&lt;&gt;DFac")+SUMIFS(XXX_II!O12:O48,XXX_II!C12:C48,"=DD",XXX_II!E12:E48,"&lt;&gt;0",XXX_II!D12:D48,"&lt;&gt;DFac")),14*(SUMIFS(XXX_II!L12:L48,XXX_II!C12:C48,"=DD",XXX_II!E12:E48,"&lt;&gt;0",XXX_II!D12:D48,"&lt;&gt;DFac")+SUMIFS(XXX_II!M12:M48,XXX_II!C12:C48,"=DD",XXX_II!E12:E48,"&lt;&gt;0",XXX_II!D12:D48,"&lt;&gt;DFac")+SUMIFS(XXX_II!N12:N48,XXX_II!C12:C48,"=DD",XXX_II!E12:E48,"&lt;&gt;0",XXX_II!D12:D48,"&lt;&gt;DFac")+SUMIFS(XXX_II!O12:O48,XXX_II!C12:C48,"=DD",XXX_II!E12:E48,"&lt;&gt;0",XXX_II!D12:D48,"&lt;&gt;DFac")))</f>
        <v>482.02</v>
      </c>
      <c r="D59" s="213"/>
      <c r="E59" s="214"/>
      <c r="F59" s="215"/>
      <c r="G59" s="180"/>
      <c r="H59" s="181"/>
    </row>
    <row r="60" spans="1:17" x14ac:dyDescent="0.25">
      <c r="A60" s="178" t="s">
        <v>46</v>
      </c>
      <c r="B60" s="342" t="str">
        <f>IF((XXX_II!C12="DS")*(XXX_II!E12&lt;&gt;0),XXX_II!B12&amp;", ","")&amp;IF((XXX_II!C13="DS")*(XXX_II!E13&lt;&gt;0),XXX_II!B13&amp;", ","")&amp;IF((XXX_II!C14="DS")*(XXX_II!E14&lt;&gt;0),XXX_II!B14&amp;", ","")&amp;IF((XXX_II!C15="DS")*(XXX_II!E15&lt;&gt;0),XXX_II!B15&amp;", ","")&amp;IF((XXX_II!C16="DS")*(XXX_II!E16&lt;&gt;0),XXX_II!B16&amp;", ","")&amp;IF((XXX_II!C17="DS")*(XXX_II!E17&lt;&gt;0),XXX_II!B17&amp;", ","")&amp;IF((XXX_II!C18="DS")*(XXX_II!E18&lt;&gt;0),XXX_II!B18&amp;", ","")&amp;IF((XXX_II!C19="DS")*(XXX_II!E19&lt;&gt;0),XXX_II!B19&amp;", ","")&amp;IF((XXX_II!C20="DS")*(XXX_II!E20&lt;&gt;0),XXX_II!B20&amp;", ","")&amp;IF((XXX_II!C21="DS")*(XXX_II!E21&lt;&gt;0),XXX_II!B21&amp;", ","")&amp;IF((XXX_II!C22="DS")*(XXX_II!E22&lt;&gt;0),XXX_II!B22&amp;", ","")&amp;IF((XXX_II!C23="DS")*(XXX_II!E23&lt;&gt;0),XXX_II!B23&amp;", ","")&amp;IF((XXX_II!C24="DS")*(XXX_II!E24&lt;&gt;0),XXX_II!B24&amp;", ","")&amp;IF((XXX_II!C25="DS")*(XXX_II!E25&lt;&gt;0),XXX_II!B25&amp;", ","")&amp;IF((XXX_II!C26="DS")*(XXX_II!E26&lt;&gt;0),XXX_II!B26&amp;", ","")&amp;IF((XXX_II!C27="DS")*(XXX_II!E27&lt;&gt;0),XXX_II!B27&amp;", ","")&amp;IF((XXX_II!C28="DS")*(XXX_II!E28&lt;&gt;0),XXX_II!B28&amp;", ","")&amp;IF((XXX_II!C29="DS")*(XXX_II!E29&lt;&gt;0),XXX_II!B29&amp;", ","")&amp;IF((XXX_II!C30="DS")*(XXX_II!E30&lt;&gt;0),XXX_II!B30&amp;", ","")&amp;IF((XXX_II!C31="DS")*(XXX_II!E31&lt;&gt;0),XXX_II!B31&amp;", ","")&amp;IF((XXX_II!C32="DS")*(XXX_II!E32&lt;&gt;0),XXX_II!B32&amp;", ","")&amp;IF((XXX_II!C33="DS")*(XXX_II!E33&lt;&gt;0),XXX_II!B33&amp;", ","")&amp;IF((XXX_II!C34="DS")*(XXX_II!E34&lt;&gt;0),XXX_II!B34&amp;", ","")&amp;IF((XXX_II!C35="DS")*(XXX_II!E35&lt;&gt;0),XXX_II!B35&amp;", ","")&amp;IF((XXX_II!C36="DS")*(XXX_II!E36&lt;&gt;0),XXX_II!B36&amp;", ","")&amp;IF((XXX_II!C37="DS")*(XXX_II!E37&lt;&gt;0),XXX_II!B37&amp;", ","")&amp;IF((XXX_II!C38="DS")*(XXX_II!E38&lt;&gt;0),XXX_II!B38&amp;", ","")&amp;IF((XXX_II!C39="DS")*(XXX_II!E39&lt;&gt;0),XXX_II!B39&amp;", ","")&amp;IF((XXX_II!C40="DS")*(XXX_II!E40&lt;&gt;0),XXX_II!B40&amp;", ","")&amp;IF((XXX_II!C41="DS")*(XXX_II!E41&lt;&gt;0),XXX_II!B41&amp;", ","")&amp;IF((XXX_II!C42="DS")*(XXX_II!E42&lt;&gt;0),XXX_II!B42&amp;", ","")&amp;IF((XXX_II!C43="DS")*(XXX_II!E43&lt;&gt;0),XXX_II!B47&amp;", ","")&amp;IF((XXX_II!C44="DS")*(XXX_II!E44&lt;&gt;0),XXX_II!B44&amp;", ","")&amp;IF((XXX_II!C45="DS")*(XXX_II!E45&lt;&gt;0),XXX_II!B45&amp;", ","")&amp;IF((XXX_II!C46="DS")*(XXX_II!E46&lt;&gt;0),XXX_II!B46&amp;", ","")&amp;IF((XXX_II!C47="DS")*(XXX_II!E47&lt;&gt;0),XXX_II!B47&amp;", ","")&amp;IF((XXX_II!C48="DS")*(XXX_II!E48&lt;&gt;0),XXX_II!B48&amp;", ","")</f>
        <v xml:space="preserve">D35ROBL302, D35ROBL304, D35ROBL305, </v>
      </c>
      <c r="C60" s="351">
        <f>IF(XXX_II!F7&lt;&gt;0,XXX_II!F7*(SUMIFS(XXX_II!F12:F48,XXX_II!C12:C48,"=DS",XXX_II!E12:E48,"&lt;&gt;0",XXX_II!D12:D48,"&lt;&gt;DFac")+SUMIFS(XXX_II!G12:G48,XXX_II!C12:C48,"=DS",XXX_II!E12:E48,"&lt;&gt;0",XXX_II!D12:D48,"&lt;&gt;DFac")+SUMIFS(XXX_II!H12:H48,XXX_II!C12:C48,"=DS",XXX_II!E12:E48,"&lt;&gt;0",XXX_II!D12:D48,"&lt;&gt;DFac")+SUMIFS(XXX_II!I12:I48,XXX_II!C12:C48,"=DS",XXX_II!E12:E48,"&lt;&gt;0",XXX_II!D12:D48,"&lt;&gt;DFac")),14*(SUMIFS(XXX_II!F12:F48,XXX_II!C12:C48,"=DS",XXX_II!E12:E48,"&lt;&gt;0",XXX_II!D12:D48,"&lt;&gt;DFac")+SUMIFS(XXX_II!G12:G48,XXX_II!C12:C48,"=DS",XXX_II!E12:E48,"&lt;&gt;0",XXX_II!D12:D48,"&lt;&gt;DFac")+SUMIFS(XXX_II!H12:H48,XXX_II!C12:C48,"=DS",XXX_II!E12:E48,"&lt;&gt;0",XXX_II!D12:D48,"&lt;&gt;DFac")+SUMIFS(XXX_II!I12:I48,XXX_II!C12:C48,"=DS",XXX_II!E12:E48,"&lt;&gt;0",XXX_II!D12:D48,"&lt;&gt;DFac")))+IF(XXX_II!L7&lt;&gt;0,XXX_II!L7*(SUMIFS(XXX_II!L12:L48,XXX_II!C12:C48,"=DS",XXX_II!E12:E48,"&lt;&gt;0",XXX_II!D12:D48,"&lt;&gt;DFac")+SUMIFS(XXX_II!M12:M48,XXX_II!C12:C48,"=DS",XXX_II!E12:E48,"&lt;&gt;0",XXX_II!D12:D48,"&lt;&gt;DFac")+SUMIFS(XXX_II!N12:N48,XXX_II!C12:C48,"=DS",XXX_II!E12:E48,"&lt;&gt;0",XXX_II!D12:D48,"&lt;&gt;DFac")+SUMIFS(XXX_II!O12:O48,XXX_II!C12:C48,"=DS",XXX_II!E12:E48,"&lt;&gt;0",XXX_II!D12:D48,"&lt;&gt;DFac")),14*(SUMIFS(XXX_II!L12:L48,XXX_II!C12:C48,"=DS",XXX_II!E12:E48,"&lt;&gt;0",XXX_II!D12:D48,"&lt;&gt;DFac")+SUMIFS(XXX_II!M12:M48,XXX_II!C12:C48,"=DS",XXX_II!E12:E48,"&lt;&gt;0",XXX_II!D12:D48,"&lt;&gt;DFac")+SUMIFS(XXX_II!N12:N48,XXX_II!C12:C48,"=DS",XXX_II!E12:E48,"&lt;&gt;0",XXX_II!D12:D48,"&lt;&gt;DFac")+SUMIFS(XXX_II!O12:O48,XXX_II!C12:C48,"=DS",XXX_II!E12:E48,"&lt;&gt;0",XXX_II!D12:D48,"&lt;&gt;DFac")))</f>
        <v>126</v>
      </c>
      <c r="D60" s="213"/>
      <c r="E60" s="214"/>
      <c r="F60" s="215"/>
      <c r="G60" s="180"/>
      <c r="H60" s="181"/>
      <c r="I60" s="183"/>
      <c r="O60" s="223"/>
      <c r="Q60" s="223"/>
    </row>
    <row r="61" spans="1:17" ht="30.75" thickBot="1" x14ac:dyDescent="0.3">
      <c r="A61" s="186" t="s">
        <v>47</v>
      </c>
      <c r="B61" s="343" t="str">
        <f>IF((XXX_II!C12="DC")*(XXX_II!E12&lt;&gt;0),XXX_II!B12&amp;", ","")&amp;IF((XXX_II!C13="DC")*(XXX_II!E13&lt;&gt;0),XXX_II!B13&amp;", ","")&amp;IF((XXX_II!C14="DC")*(XXX_II!E14&lt;&gt;0),XXX_II!B14&amp;", ","")&amp;IF((XXX_II!C15="DC")*(XXX_II!E15&lt;&gt;0),XXX_II!B15&amp;", ","")&amp;IF((XXX_II!C16="DC")*(XXX_II!E16&lt;&gt;0),XXX_II!B16&amp;", ","")&amp;IF((XXX_II!C17="DC")*(XXX_II!E17&lt;&gt;0),XXX_II!B17&amp;", ","")&amp;IF((XXX_II!C18="DC")*(XXX_II!E18&lt;&gt;0),XXX_II!B18&amp;", ","")&amp;IF((XXX_II!C19="DC")*(XXX_II!E19&lt;&gt;0),XXX_II!B19&amp;", ","")&amp;IF((XXX_II!C20="DC")*(XXX_II!E20&lt;&gt;0),XXX_II!B20&amp;", ","")&amp;IF((XXX_II!C21="DC")*(XXX_II!E21&lt;&gt;0),XXX_II!B21&amp;", ","")&amp;IF((XXX_II!C22="DC")*(XXX_II!E22&lt;&gt;0),XXX_II!B22&amp;", ","")&amp;IF((XXX_II!C23="DC")*(XXX_II!E23&lt;&gt;0),XXX_II!B23&amp;", ","")&amp;IF((XXX_II!C24="DC")*(XXX_II!E24&lt;&gt;0),XXX_II!B24&amp;", ","")&amp;IF((XXX_II!C25="DC")*(XXX_II!E25&lt;&gt;0),XXX_II!B25&amp;", ","")&amp;IF((XXX_II!C26="DC")*(XXX_II!E26&lt;&gt;0),XXX_II!B26&amp;", ","")&amp;IF((XXX_II!C27="DC")*(XXX_II!E27&lt;&gt;0),XXX_II!B27&amp;", ","")&amp;IF((XXX_II!C28="DC")*(XXX_II!E28&lt;&gt;0),XXX_II!B28&amp;", ","")&amp;IF((XXX_II!C29="DC")*(XXX_II!E29&lt;&gt;0),XXX_II!B29&amp;", ","")&amp;IF((XXX_II!C30="DC")*(XXX_II!E30&lt;&gt;0),XXX_II!B30&amp;", ","")&amp;IF((XXX_II!C31="DC")*(XXX_II!E31&lt;&gt;0),XXX_II!B31&amp;", ","")&amp;IF((XXX_II!C32="DC")*(XXX_II!E32&lt;&gt;0),XXX_II!B32&amp;", ","")&amp;IF((XXX_II!C33="DC")*(XXX_II!E33&lt;&gt;0),XXX_II!B33&amp;", ","")&amp;IF((XXX_II!C34="DC")*(XXX_II!E34&lt;&gt;0),XXX_II!B34&amp;", ","")&amp;IF((XXX_II!C35="DC")*(XXX_II!E35&lt;&gt;0),XXX_II!B35&amp;", ","")&amp;IF((XXX_II!C36="DC")*(XXX_II!E36&lt;&gt;0),XXX_II!B36&amp;", ","")&amp;IF((XXX_II!C37="DC")*(XXX_II!E37&lt;&gt;0),XXX_II!B37&amp;", ","")&amp;IF((XXX_II!C38="DC")*(XXX_II!E38&lt;&gt;0),XXX_II!B38&amp;", ","")&amp;IF((XXX_II!C39="DC")*(XXX_II!E39&lt;&gt;0),XXX_II!B39&amp;", ","")&amp;IF((XXX_II!C40="DC")*(XXX_II!E40&lt;&gt;0),XXX_II!B40&amp;", ","")&amp;IF((XXX_II!C41="DC")*(XXX_II!E41&lt;&gt;0),XXX_II!B41&amp;", ","")&amp;IF((XXX_II!C42="DC")*(XXX_II!E42&lt;&gt;0),XXX_II!B42&amp;", ","")&amp;IF((XXX_II!C43="DC")*(XXX_II!E43&lt;&gt;0),XXX_II!B47&amp;", ","")&amp;IF((XXX_II!C44="DC")*(XXX_II!E44&lt;&gt;0),XXX_II!B44&amp;", ","")&amp;IF((XXX_II!C45="DC")*(XXX_II!E45&lt;&gt;0),XXX_II!B45&amp;", ","")&amp;IF((XXX_II!C46="DC")*(XXX_II!E46&lt;&gt;0),XXX_II!B46&amp;", ","")&amp;IF((XXX_II!C47="DC")*(XXX_II!E47&lt;&gt;0),XXX_II!B47&amp;", ","")&amp;IF((XXX_II!C48="DC")*(XXX_II!E48&lt;&gt;0),XXX_II!B48&amp;", ","")</f>
        <v xml:space="preserve">D35ROBL307, D35ROBL308, D35ROBL406, D35ROBL407, D35ROBL409, D35ROBL410, </v>
      </c>
      <c r="C61" s="352">
        <f>IF(XXX_II!F7&lt;&gt;0,XXX_II!F7*(SUMIFS(XXX_II!F12:F48,XXX_II!C12:C48,"=DC",XXX_II!E12:E48,"&lt;&gt;0",XXX_II!D12:D48,"&lt;&gt;DFac")+SUMIFS(XXX_II!G12:G48,XXX_II!C12:C48,"=DC",XXX_II!E12:E48,"&lt;&gt;0",XXX_II!D12:D48,"&lt;&gt;DFac")+SUMIFS(XXX_II!H12:H48,XXX_II!C12:C48,"=DC",XXX_II!E12:E48,"&lt;&gt;0",XXX_II!D12:D48,"&lt;&gt;DFac")+SUMIFS(XXX_II!I12:I48,XXX_II!C12:C48,"=DC",XXX_II!E12:E48,"&lt;&gt;0",XXX_II!D12:D48,"&lt;&gt;DFac")),14*(SUMIFS(XXX_II!F12:F48,XXX_II!C12:C48,"=DC",XXX_II!E12:E48,"&lt;&gt;0",XXX_II!D12:D48,"&lt;&gt;DFac")+SUMIFS(XXX_II!G12:G48,XXX_II!C12:C48,"=DC",XXX_II!E12:E48,"&lt;&gt;0",XXX_II!D12:D48,"&lt;&gt;DFac")+SUMIFS(XXX_II!H12:H48,XXX_II!C12:C48,"=DC",XXX_II!E12:E48,"&lt;&gt;0",XXX_II!D12:D48,"&lt;&gt;DFac")+SUMIFS(XXX_II!I12:I48,XXX_II!C12:C48,"=DC",XXX_II!E12:E48,"&lt;&gt;0",XXX_II!D12:D48,"&lt;&gt;DFac")))+IF(XXX_II!L7&lt;&gt;0,XXX_II!L7*(SUMIFS(XXX_II!L12:L48,XXX_II!C12:C48,"=DC",XXX_II!E12:E48,"&lt;&gt;0",XXX_II!D12:D48,"&lt;&gt;DFac")+SUMIFS(XXX_II!M12:M48,XXX_II!C12:C48,"=DC",XXX_II!E12:E48,"&lt;&gt;0",XXX_II!D12:D48,"&lt;&gt;DFac")+SUMIFS(XXX_II!N12:N48,XXX_II!C12:C48,"=DC",XXX_II!E12:E48,"&lt;&gt;0",XXX_II!D12:D48,"&lt;&gt;DFac")+SUMIFS(XXX_II!O12:O48,XXX_II!C12:C48,"=DC",XXX_II!E12:E48,"&lt;&gt;0",XXX_II!D12:D48,"&lt;&gt;DFac")),14*(SUMIFS(XXX_II!L12:L48,XXX_II!C12:C48,"=DC",XXX_II!E12:E48,"&lt;&gt;0",XXX_II!D12:D48,"&lt;&gt;DFac")+SUMIFS(XXX_II!M12:M48,XXX_II!C12:C48,"=DC",XXX_II!E12:E48,"&lt;&gt;0",XXX_II!D12:D48,"&lt;&gt;DFac")+SUMIFS(XXX_II!N12:N48,XXX_II!C12:C48,"=DC",XXX_II!E12:E48,"&lt;&gt;0",XXX_II!D12:D48,"&lt;&gt;DFac")+SUMIFS(XXX_II!O12:O48,XXX_II!C12:C48,"=DC",XXX_II!E12:E48,"&lt;&gt;0",XXX_II!D12:D48,"&lt;&gt;DFac")))</f>
        <v>140</v>
      </c>
      <c r="D61" s="216"/>
      <c r="E61" s="217"/>
      <c r="F61" s="218"/>
      <c r="G61" s="188"/>
      <c r="H61" s="189"/>
    </row>
    <row r="62" spans="1:17" x14ac:dyDescent="0.25">
      <c r="A62" s="185"/>
      <c r="B62" s="346"/>
    </row>
    <row r="63" spans="1:17" x14ac:dyDescent="0.25">
      <c r="C63" s="347">
        <f>SUM(C58:C62)</f>
        <v>860.02</v>
      </c>
    </row>
    <row r="64" spans="1:17" ht="15.75" thickBot="1" x14ac:dyDescent="0.3">
      <c r="A64" s="166" t="s">
        <v>52</v>
      </c>
      <c r="D64" s="167"/>
      <c r="E64" s="167"/>
      <c r="F64" s="167"/>
      <c r="G64" s="167"/>
      <c r="H64" s="167"/>
    </row>
    <row r="65" spans="1:9" ht="15.75" thickBot="1" x14ac:dyDescent="0.3">
      <c r="A65" s="170" t="s">
        <v>18</v>
      </c>
      <c r="B65" s="340" t="s">
        <v>17</v>
      </c>
      <c r="C65" s="349" t="s">
        <v>24</v>
      </c>
      <c r="D65" s="170" t="s">
        <v>16</v>
      </c>
      <c r="E65" s="549" t="s">
        <v>26</v>
      </c>
      <c r="F65" s="550"/>
      <c r="G65" s="551" t="s">
        <v>25</v>
      </c>
      <c r="H65" s="552"/>
    </row>
    <row r="66" spans="1:9" ht="90" x14ac:dyDescent="0.25">
      <c r="A66" s="173" t="s">
        <v>48</v>
      </c>
      <c r="B66" s="341" t="str">
        <f>IF((XXX_II!D12="DI")*(XXX_II!E12&lt;&gt;0),XXX_II!B12&amp;", ","")&amp;IF((XXX_II!D13="DI")*(XXX_II!E13&lt;&gt;0),XXX_II!B13&amp;", ","")&amp;IF((XXX_II!D14="DI")*(XXX_II!E14&lt;&gt;0),XXX_II!B14&amp;", ","")&amp;IF((XXX_II!D15="DI")*(XXX_II!E15&lt;&gt;0),XXX_II!B15&amp;", ","")&amp;IF((XXX_II!D16="DI")*(XXX_II!E16&lt;&gt;0),XXX_II!B16&amp;", ","")&amp;IF((XXX_II!D17="DI")*(XXX_II!E17&lt;&gt;0),XXX_II!B17&amp;", ","")&amp;IF((XXX_II!D18="DI")*(XXX_II!E18&lt;&gt;0),XXX_II!B18&amp;", ","")&amp;IF((XXX_II!D19="DI")*(XXX_II!E19&lt;&gt;0),XXX_II!B19&amp;", ","")&amp;IF((XXX_II!D20="DI")*(XXX_II!E20&lt;&gt;0),XXX_II!B20&amp;", ","")&amp;IF((XXX_II!D21="DI")*(XXX_II!E21&lt;&gt;0),XXX_II!B21&amp;", ","")&amp;IF((XXX_II!D22="DI")*(XXX_II!E22&lt;&gt;0),XXX_II!B22&amp;", ","")&amp;IF((XXX_II!D23="DI")*(XXX_II!E23&lt;&gt;0),XXX_II!B23&amp;", ","")&amp;IF((XXX_II!D24="DI")*(XXX_II!E24&lt;&gt;0),XXX_II!B24&amp;", ","")&amp;IF((XXX_II!D25="DI")*(XXX_II!E25&lt;&gt;0),XXX_II!B25&amp;", ","")&amp;IF((XXX_II!D26="DI")*(XXX_II!E26&lt;&gt;0),XXX_II!B26&amp;", ","")&amp;IF((XXX_II!D27="DI")*(XXX_II!E27&lt;&gt;0),XXX_II!B27&amp;", ","")&amp;IF((XXX_II!D28="DI")*(XXX_II!E28&lt;&gt;0),XXX_II!B28&amp;", ","")&amp;IF((XXX_II!D29="DI")*(XXX_II!E29&lt;&gt;0),XXX_II!B29&amp;", ","")&amp;IF((XXX_II!D30="DI")*(XXX_II!E30&lt;&gt;0),XXX_II!B30&amp;", ","")&amp;IF((XXX_II!D31="DI")*(XXX_II!E31&lt;&gt;0),XXX_II!B31&amp;", ","")&amp;IF((XXX_II!D32="DI")*(XXX_II!E32&lt;&gt;0),XXX_II!B32&amp;", ","")&amp;IF((XXX_II!D33="DI")*(XXX_II!E33&lt;&gt;0),XXX_II!B33&amp;", ","")&amp;IF((XXX_II!D34="DI")*(XXX_II!E34&lt;&gt;0),XXX_II!B34&amp;", ","")&amp;IF((XXX_II!D35="DI")*(XXX_II!E35&lt;&gt;0),XXX_II!B35&amp;", ","")&amp;IF((XXX_II!D36="DI")*(XXX_II!E36&lt;&gt;0),XXX_II!B36&amp;", ","")&amp;IF((XXX_II!D37="DI")*(XXX_II!E37&lt;&gt;0),XXX_II!B37&amp;", ","")&amp;IF((XXX_II!D38="DI")*(XXX_II!E38&lt;&gt;0),XXX_II!B38&amp;", ","")&amp;IF((XXX_II!D39="DI")*(XXX_II!E39&lt;&gt;0),XXX_II!B39&amp;", ","")&amp;IF((XXX_II!D40="DI")*(XXX_II!E40&lt;&gt;0),XXX_II!B40&amp;", ","")&amp;IF((XXX_II!D41="DI")*(XXX_II!E41&lt;&gt;0),XXX_II!B41&amp;", ","")&amp;IF((XXX_II!D42="DI")*(XXX_II!E42&lt;&gt;0),XXX_II!B42&amp;", ","")&amp;IF((XXX_II!D43="DI")*(XXX_II!E43&lt;&gt;0),XXX_II!B43&amp;", ","")&amp;IF((XXX_II!D44="DI")*(XXX_II!E44&lt;&gt;0),XXX_II!B44&amp;", ","")&amp;IF((XXX_II!D45="DI")*(XXX_II!E45&lt;&gt;0),XXX_II!B45&amp;", ","")&amp;IF((XXX_II!D46="DI")*(XXX_II!E46&lt;&gt;0),XXX_II!B46&amp;", ","")&amp;IF((XXX_II!D47="DI")*(XXX_II!E47&lt;&gt;0),XXX_II!B47&amp;", ","")&amp;IF((XXX_II!D48="DI")*(XXX_II!E48&lt;&gt;0),XXX_II!B48&amp;", ","")</f>
        <v xml:space="preserve">D35ROBL301, D35ROBL302, D35ROBL303, D35ROBL304, D35ROBL305, D35ROBL306, D35ROBL307, D35ROBL308, D35ROBL401, D35ROBL402, D35ROBL403, D35ROBL404, D35ROBL405, D35ROBL406, D35ROBL407, D35ROBL408, D35ROBL409, D35ROBL410, </v>
      </c>
      <c r="C66" s="356">
        <f>IF(XXX_II!F7&lt;&gt;0,XXX_II!F7*(SUMIFS(XXX_II!F12:F48,XXX_II!D12:D48,"=DI",XXX_II!E12:E48,"&lt;&gt;0")+SUMIFS(XXX_II!G12:G48,XXX_II!D12:D48,"=DI",XXX_II!E12:E48,"&lt;&gt;0")+SUMIFS(XXX_II!H12:H48,XXX_II!D12:D48,"=DI",XXX_II!E12:E48,"&lt;&gt;0")+SUMIFS(XXX_II!I12:I48,XXX_II!D12:D48,"=DI",XXX_II!E12:E48,"&lt;&gt;0")),14*(SUMIFS(XXX_II!F12:F48,XXX_II!D12:D48,"=DI",XXX_II!E12:E48,"&lt;&gt;0")+SUMIFS(XXX_II!G12:G48,XXX_II!D12:D48,"=DI",XXX_II!E12:E48,"&lt;&gt;0")+SUMIFS(XXX_II!H12:H48,XXX_II!D12:D48,"=DI",XXX_II!E12:E48,"&lt;&gt;0")+SUMIFS(XXX_II!I12:I48,XXX_II!D12:D48,"=DI",XXX_II!E12:E48,"&lt;&gt;0")))+IF(XXX_II!L7&lt;&gt;0,XXX_II!L7*(SUMIFS(XXX_II!L12:L48,XXX_II!D12:D48,"=DI",XXX_II!E12:E48,"&lt;&gt;0")+SUMIFS(XXX_II!M12:M48,XXX_II!D12:D48,"=DI",XXX_II!E12:E48,"&lt;&gt;0")+SUMIFS(XXX_II!N12:N48,XXX_II!D12:D48,"=DI",XXX_II!E12:E48,"&lt;&gt;0")+SUMIFS(XXX_II!O12:O48,XXX_II!D12:D48,"=DI",XXX_II!E12:E48,"&lt;&gt;0")),14*(SUMIFS(XXX_II!L12:L48,XXX_II!D12:D48,"=DI",XXX_II!E12:E48,"&lt;&gt;0")+SUMIFS(XXX_II!M12:M48,XXX_II!D12:D48,"=DI",XXX_II!E12:E48,"&lt;&gt;0")+SUMIFS(XXX_II!N12:N48,XXX_II!D12:D48,"=DI",XXX_II!E12:E48,"&lt;&gt;0")+SUMIFS(XXX_II!O12:O48,XXX_II!D12:D48,"=DI",XXX_II!E12:E48,"&lt;&gt;0")))</f>
        <v>860.02</v>
      </c>
      <c r="D66" s="209"/>
      <c r="E66" s="210"/>
      <c r="F66" s="211"/>
      <c r="G66" s="175"/>
      <c r="H66" s="176"/>
      <c r="I66" s="183"/>
    </row>
    <row r="67" spans="1:9" x14ac:dyDescent="0.25">
      <c r="A67" s="178" t="s">
        <v>49</v>
      </c>
      <c r="B67" s="342" t="str">
        <f>IF((XXX_II!D12="DO")*(XXX_II!E12&lt;&gt;0),XXX_II!B12&amp;", ","")&amp;IF((XXX_II!D13="DO")*(XXX_II!E13&lt;&gt;0),XXX_II!B13&amp;", ","")&amp;IF((XXX_II!D14="DO")*(XXX_II!E14&lt;&gt;0),XXX_II!B14&amp;", ","")&amp;IF((XXX_II!D15="DO")*(XXX_II!E15&lt;&gt;0),XXX_II!B15&amp;", ","")&amp;IF((XXX_II!D16="DO")*(XXX_II!E16&lt;&gt;0),XXX_II!B16&amp;", ","")&amp;IF((XXX_II!D17="DO")*(XXX_II!E17&lt;&gt;0),XXX_II!B17&amp;", ","")&amp;IF((XXX_II!D18="DO")*(XXX_II!E18&lt;&gt;0),XXX_II!B18&amp;", ","")&amp;IF((XXX_II!D19="DO")*(XXX_II!E19&lt;&gt;0),XXX_II!B19&amp;", ","")&amp;IF((XXX_II!D20="DO")*(XXX_II!E20&lt;&gt;0),XXX_II!B20&amp;", ","")&amp;IF((XXX_II!D21="DO")*(XXX_II!E21&lt;&gt;0),XXX_II!B21&amp;", ","")&amp;IF((XXX_II!D22="DO")*(XXX_II!E22&lt;&gt;0),XXX_II!B22&amp;", ","")&amp;IF((XXX_II!D23="DO")*(XXX_II!E23&lt;&gt;0),XXX_II!B23&amp;", ","")&amp;IF((XXX_II!D24="DO")*(XXX_II!E24&lt;&gt;0),XXX_II!B24&amp;", ","")&amp;IF((XXX_II!D25="DO")*(XXX_II!E25&lt;&gt;0),XXX_II!B25&amp;", ","")&amp;IF((XXX_II!D26="DO")*(XXX_II!E26&lt;&gt;0),XXX_II!B26&amp;", ","")&amp;IF((XXX_II!D27="DO")*(XXX_II!E27&lt;&gt;0),XXX_II!B27&amp;", ","")&amp;IF((XXX_II!D28="DO")*(XXX_II!E28&lt;&gt;0),XXX_II!B28&amp;", ","")&amp;IF((XXX_II!D29="DO")*(XXX_II!E29&lt;&gt;0),XXX_II!B29&amp;", ","")&amp;IF((XXX_II!D30="DO")*(XXX_II!E30&lt;&gt;0),XXX_II!B30&amp;", ","")&amp;IF((XXX_II!D31="DO")*(XXX_II!E31&lt;&gt;0),XXX_II!B31&amp;", ","")&amp;IF((XXX_II!D32="DO")*(XXX_II!E32&lt;&gt;0),XXX_II!B32&amp;", ","")&amp;IF((XXX_II!D33="DO")*(XXX_II!E33&lt;&gt;0),XXX_II!B33&amp;", ","")&amp;IF((XXX_II!D34="DO")*(XXX_II!E34&lt;&gt;0),XXX_II!B34&amp;", ","")&amp;IF((XXX_II!D35="DO")*(XXX_II!E35&lt;&gt;0),XXX_II!B35&amp;", ","")&amp;IF((XXX_II!D36="DO")*(XXX_II!E36&lt;&gt;0),XXX_II!B36&amp;", ","")&amp;IF((XXX_II!D37="DO")*(XXX_II!E37&lt;&gt;0),XXX_II!B37&amp;", ","")&amp;IF((XXX_II!D38="DO")*(XXX_II!E38&lt;&gt;0),XXX_II!B38&amp;", ","")&amp;IF((XXX_II!D39="DO")*(XXX_II!E39&lt;&gt;0),XXX_II!B39&amp;", ","")&amp;IF((XXX_II!D40="DO")*(XXX_II!E40&lt;&gt;0),XXX_II!B40&amp;", ","")&amp;IF((XXX_II!D41="DO")*(XXX_II!E41&lt;&gt;0),XXX_II!B41&amp;", ","")&amp;IF((XXX_II!D42="DO")*(XXX_II!E42&lt;&gt;0),XXX_II!B42&amp;", ","")&amp;IF((XXX_II!D43="DO")*(XXX_II!E43&lt;&gt;0),XXX_II!B43&amp;", ","")&amp;IF((XXX_II!D44="DO")*(XXX_II!E44&lt;&gt;0),XXX_II!B44&amp;", ","")&amp;IF((XXX_II!D45="DO")*(XXX_II!E45&lt;&gt;0),XXX_II!B45&amp;", ","")&amp;IF((XXX_II!D46="DO")*(XXX_II!E46&lt;&gt;0),XXX_II!B46&amp;", ","")&amp;IF((XXX_II!D47="DO")*(XXX_II!E47&lt;&gt;0),XXX_II!B47&amp;", ","")&amp;IF((XXX_II!D48="DO")*(XXX_II!E48&lt;&gt;0),XXX_II!B48&amp;", ","")</f>
        <v/>
      </c>
      <c r="C67" s="353">
        <f>IF(XXX_II!F7&lt;&gt;0,XXX_II!F7*(SUMIFS(XXX_II!F12:F48,XXX_II!D12:D48,"=DO",XXX_II!E12:E48,"&lt;&gt;0")+SUMIFS(XXX_II!G12:G48,XXX_II!D12:D48,"=DO",XXX_II!E12:E48,"&lt;&gt;0")+SUMIFS(XXX_II!H12:H48,XXX_II!D12:D48,"=DO",XXX_II!E12:E48,"&lt;&gt;0")+SUMIFS(XXX_II!I12:I48,XXX_II!D12:D48,"=DO",XXX_II!E12:E48,"&lt;&gt;0")),14*(SUMIFS(XXX_II!F12:F48,XXX_II!D12:D48,"=DO",XXX_II!E12:E48,"&lt;&gt;0")+SUMIFS(XXX_II!G12:G48,XXX_II!D12:D48,"=DO",XXX_II!E12:E48,"&lt;&gt;0")+SUMIFS(XXX_II!H12:H48,XXX_II!D12:D48,"=DO",XXX_II!E12:E48,"&lt;&gt;0")+SUMIFS(XXX_II!I12:I48,XXX_II!D12:D48,"=DO",XXX_II!E12:E48,"&lt;&gt;0")))+IF(XXX_II!L7&lt;&gt;0,XXX_II!L7*(SUMIFS(XXX_II!L12:L48,XXX_II!D12:D48,"=DO",XXX_II!E12:E48,"&lt;&gt;0")+SUMIFS(XXX_II!M12:M48,XXX_II!D12:D48,"=DO",XXX_II!E12:E48,"&lt;&gt;0")+SUMIFS(XXX_II!N12:N48,XXX_II!D12:D48,"=DO",XXX_II!E12:E48,"&lt;&gt;0")+SUMIFS(XXX_II!O12:O48,XXX_II!D12:D48,"=DO",XXX_II!E12:E48,"&lt;&gt;0")),14*(SUMIFS(XXX_II!L12:L48,XXX_II!D12:D48,"=DO",XXX_II!E12:E48,"&lt;&gt;0")+SUMIFS(XXX_II!M12:M48,XXX_II!D12:D48,"=DO",XXX_II!E12:E48,"&lt;&gt;0")+SUMIFS(XXX_II!N12:N48,XXX_II!D12:D48,"=DO",XXX_II!E12:E48,"&lt;&gt;0")+SUMIFS(XXX_II!O12:O48,XXX_II!D12:D48,"=DO",XXX_II!E12:E48,"&lt;&gt;0")))</f>
        <v>0</v>
      </c>
      <c r="D67" s="197"/>
      <c r="E67" s="214"/>
      <c r="F67" s="215"/>
      <c r="G67" s="180"/>
      <c r="H67" s="181"/>
    </row>
    <row r="68" spans="1:9" ht="15.75" thickBot="1" x14ac:dyDescent="0.3">
      <c r="A68" s="186" t="s">
        <v>50</v>
      </c>
      <c r="B68" s="343" t="str">
        <f>IF((XXX_II!D12="DFac")*(XXX_II!E12&lt;&gt;0),XXX_II!B12&amp;", ","")&amp;IF((XXX_II!D13="DFac")*(XXX_II!E13&lt;&gt;0),XXX_II!B13&amp;", ","")&amp;IF((XXX_II!D14="DFac")*(XXX_II!E14&lt;&gt;0),XXX_II!B14&amp;", ","")&amp;IF((XXX_II!D15="DFac")*(XXX_II!E15&lt;&gt;0),XXX_II!B15&amp;", ","")&amp;IF((XXX_II!D16="DFac")*(XXX_II!E16&lt;&gt;0),XXX_II!B16&amp;", ","")&amp;IF((XXX_II!D17="DFac")*(XXX_II!E17&lt;&gt;0),XXX_II!B17&amp;", ","")&amp;IF((XXX_II!D18="DFac")*(XXX_II!E18&lt;&gt;0),XXX_II!B18&amp;", ","")&amp;IF((XXX_II!D19="DFac")*(XXX_II!E19&lt;&gt;0),XXX_II!B19&amp;", ","")&amp;IF((XXX_II!D20="DFac")*(XXX_II!E20&lt;&gt;0),XXX_II!B20&amp;", ","")&amp;IF((XXX_II!D21="DFac")*(XXX_II!E21&lt;&gt;0),XXX_II!B21&amp;", ","")&amp;IF((XXX_II!D22="DFac")*(XXX_II!E22&lt;&gt;0),XXX_II!B22&amp;", ","")&amp;IF((XXX_II!D23="DFac")*(XXX_II!E23&lt;&gt;0),XXX_II!B23&amp;", ","")&amp;IF((XXX_II!D24="DFac")*(XXX_II!E24&lt;&gt;0),XXX_II!B24&amp;", ","")&amp;IF((XXX_II!D25="DFac")*(XXX_II!E25&lt;&gt;0),XXX_II!B25&amp;", ","")&amp;IF((XXX_II!D26="DFac")*(XXX_II!E26&lt;&gt;0),XXX_II!B26&amp;", ","")&amp;IF((XXX_II!D27="DFac")*(XXX_II!E27&lt;&gt;0),XXX_II!B27&amp;", ","")&amp;IF((XXX_II!D28="DFac")*(XXX_II!E28&lt;&gt;0),XXX_II!B28&amp;", ","")&amp;IF((XXX_II!D29="DFac")*(XXX_II!E29&lt;&gt;0),XXX_II!B29&amp;", ","")&amp;IF((XXX_II!D30="DFac")*(XXX_II!E30&lt;&gt;0),XXX_II!B30&amp;", ","")&amp;IF((XXX_II!D31="DFac")*(XXX_II!E31&lt;&gt;0),XXX_II!B31&amp;", ","")&amp;IF((XXX_II!D32="DFac")*(XXX_II!E32&lt;&gt;0),XXX_II!B32&amp;", ","")&amp;IF((XXX_II!D33="DFac")*(XXX_II!E33&lt;&gt;0),XXX_II!B33&amp;", ","")&amp;IF((XXX_II!D34="DFac")*(XXX_II!E34&lt;&gt;0),XXX_II!B34&amp;", ","")&amp;IF((XXX_II!D35="DFac")*(XXX_II!E35&lt;&gt;0),XXX_II!B35&amp;", ","")&amp;IF((XXX_II!D36="DFac")*(XXX_II!E36&lt;&gt;0),XXX_II!B36&amp;", ","")&amp;IF((XXX_II!D37="DFac")*(XXX_II!E37&lt;&gt;0),XXX_II!B37&amp;", ","")&amp;IF((XXX_II!D38="DFac")*(XXX_II!E38&lt;&gt;0),XXX_II!B38&amp;", ","")&amp;IF((XXX_II!D39="DFac")*(XXX_II!E39&lt;&gt;0),XXX_II!B39&amp;", ","")&amp;IF((XXX_II!D40="DFac")*(XXX_II!E40&lt;&gt;0),XXX_II!B40&amp;", ","")&amp;IF((XXX_II!D41="DFac")*(XXX_II!E41&lt;&gt;0),XXX_II!B41&amp;", ","")&amp;IF((XXX_II!D42="DFac")*(XXX_II!E42&lt;&gt;0),XXX_II!B42&amp;", ","")&amp;IF((XXX_II!D43="DFac")*(XXX_II!E43&lt;&gt;0),XXX_II!B43&amp;", ","")&amp;IF((XXX_II!D44="DFac")*(XXX_II!E44&lt;&gt;0),XXX_II!B44&amp;", ","")&amp;IF((XXX_II!D45="DFac")*(XXX_II!E45&lt;&gt;0),XXX_II!B45&amp;", ","")&amp;IF((XXX_II!D46="DFac")*(XXX_II!E46&lt;&gt;0),XXX_II!B46&amp;", ","")&amp;IF((XXX_II!D47="DFac")*(XXX_II!E47&lt;&gt;0),XXX_II!B47&amp;", ","")&amp;IF((XXX_II!D48="DFac")*(XXX_II!E48&lt;&gt;0),XXX_II!B48&amp;", ","")</f>
        <v/>
      </c>
      <c r="C68" s="357">
        <f>IF(XXX_II!F7&lt;&gt;0,XXX_II!F7*(SUMIFS(XXX_II!F12:F48,XXX_II!D12:D48,"=DFac",XXX_II!E12:E48,"&gt;=0")+SUMIFS(XXX_II!G12:G48,XXX_II!D12:D48,"=DFac",XXX_II!E12:E48,"&gt;=0")+SUMIFS(XXX_II!H12:H48,XXX_II!D12:D48,"=DFac",XXX_II!E12:E48,"&gt;=0")+SUMIFS(XXX_II!I12:I48,XXX_II!D12:D48,"=DFac",XXX_II!E12:E48,"&gt;=0")),14*(SUMIFS(XXX_II!F12:F48,XXX_II!D12:D48,"=DFac",XXX_II!E12:E48,"&gt;=0")+SUMIFS(XXX_II!G12:G48,XXX_II!D12:D48,"=DFac",XXX_II!E12:E48,"&gt;=0")+SUMIFS(XXX_II!H12:H48,XXX_II!D12:D48,"=DFac",XXX_II!E12:E48,"&gt;=0")+SUMIFS(XXX_II!I12:I48,XXX_II!D12:D48,"=DFac",XXX_II!E12:E48,"&gt;=0")))+IF(XXX_II!L7&lt;&gt;0,XXX_II!L7*(SUMIFS(XXX_II!L12:L48,XXX_II!D12:D48,"=DFac",XXX_II!E12:E48,"&gt;=0")+SUMIFS(XXX_II!M12:M48,XXX_II!D12:D48,"=DFac",XXX_II!E12:E48,"&gt;=0")+SUMIFS(XXX_II!N12:N48,XXX_II!D12:D48,"=DFac",XXX_II!E12:E48,"&gt;=0")+SUMIFS(XXX_II!O12:O48,XXX_II!D12:D48,"=DFac",XXX_II!E12:E48,"&gt;=0")),14*(SUMIFS(XXX_II!L12:L48,XXX_II!D12:D48,"=DFac",XXX_II!E12:E48,"&gt;=0")+SUMIFS(XXX_II!M12:M48,XXX_II!D12:D48,"=DFac",XXX_II!E12:E48,"&gt;=0")+SUMIFS(XXX_II!N12:N48,XXX_II!D12:D48,"=DFac",XXX_II!E12:E48,"&gt;=0")+SUMIFS(XXX_II!O12:O48,XXX_II!D12:D48,"=DFac",XXX_II!E12:E48,"&gt;=0")))</f>
        <v>168</v>
      </c>
      <c r="D68" s="220"/>
      <c r="E68" s="217"/>
      <c r="F68" s="218"/>
      <c r="G68" s="221"/>
      <c r="H68" s="222"/>
    </row>
    <row r="70" spans="1:9" x14ac:dyDescent="0.25">
      <c r="C70" s="347">
        <f>SUM(C66:C67)</f>
        <v>860.02</v>
      </c>
    </row>
    <row r="71" spans="1:9" ht="18.75" x14ac:dyDescent="0.3">
      <c r="B71" s="358" t="s">
        <v>30</v>
      </c>
    </row>
    <row r="72" spans="1:9" ht="30" x14ac:dyDescent="0.25">
      <c r="C72" s="354"/>
      <c r="D72" s="163"/>
      <c r="E72" s="163"/>
      <c r="F72" s="206" t="s">
        <v>27</v>
      </c>
      <c r="G72" s="207"/>
      <c r="H72" s="208"/>
    </row>
    <row r="73" spans="1:9" x14ac:dyDescent="0.25">
      <c r="A73" s="166" t="s">
        <v>19</v>
      </c>
      <c r="D73" s="167"/>
      <c r="E73" s="167"/>
      <c r="F73" s="167"/>
      <c r="G73" s="163"/>
      <c r="H73" s="163"/>
    </row>
    <row r="74" spans="1:9" ht="15.75" thickBot="1" x14ac:dyDescent="0.3">
      <c r="D74" s="167"/>
      <c r="E74" s="167"/>
      <c r="F74" s="167"/>
      <c r="G74" s="167"/>
      <c r="H74" s="167"/>
    </row>
    <row r="75" spans="1:9" ht="15.75" thickBot="1" x14ac:dyDescent="0.3">
      <c r="A75" s="170" t="s">
        <v>18</v>
      </c>
      <c r="B75" s="340" t="s">
        <v>17</v>
      </c>
      <c r="C75" s="349" t="s">
        <v>24</v>
      </c>
      <c r="D75" s="170" t="s">
        <v>16</v>
      </c>
      <c r="E75" s="549" t="s">
        <v>26</v>
      </c>
      <c r="F75" s="550"/>
      <c r="G75" s="551" t="s">
        <v>25</v>
      </c>
      <c r="H75" s="552"/>
    </row>
    <row r="76" spans="1:9" x14ac:dyDescent="0.25">
      <c r="A76" s="173" t="s">
        <v>44</v>
      </c>
      <c r="B76" s="341" t="str">
        <f>IF((XXX_III!C12="DF")*(XXX_III!E12&lt;&gt;0),XXX_III!B12&amp;", ","")&amp;IF((XXX_III!C13="DF")*(XXX_III!E13&lt;&gt;0),XXX_III!B13&amp;", ","")&amp;IF((XXX_III!C14="DF")*(XXX_III!E14&lt;&gt;0),XXX_III!B14&amp;", ","")&amp;IF((XXX_III!C15="DF")*(XXX_III!E15&lt;&gt;0),XXX_III!B15&amp;", ","")&amp;IF((XXX_III!C16="DF")*(XXX_III!E16&lt;&gt;0),XXX_III!B16&amp;", ","")&amp;IF((XXX_III!C17="DF")*(XXX_III!E17&lt;&gt;0),XXX_III!B17&amp;", ","")&amp;IF((XXX_III!C18="DF")*(XXX_III!E18&lt;&gt;0),XXX_III!B18&amp;", ","")&amp;IF((XXX_III!C19="DF")*(XXX_III!E19&lt;&gt;0),XXX_III!B19&amp;", ","")&amp;IF((XXX_III!C20="DF")*(XXX_III!E20&lt;&gt;0),XXX_III!B20&amp;", ","")&amp;IF((XXX_III!C21="DF")*(XXX_III!E21&lt;&gt;0),XXX_III!B21&amp;", ","")&amp;IF((XXX_III!C22="DF")*(XXX_III!E22&lt;&gt;0),XXX_III!B22&amp;", ","")&amp;IF((XXX_III!C23="DF")*(XXX_III!E23&lt;&gt;0),XXX_III!B23&amp;", ","")&amp;IF((XXX_III!C24="DF")*(XXX_III!E24&lt;&gt;0),XXX_III!B24&amp;", ","")&amp;IF((XXX_III!C25="DF")*(XXX_III!E25&lt;&gt;0),XXX_III!B25&amp;", ","")&amp;IF((XXX_III!C26="DF")*(XXX_III!E26&lt;&gt;0),XXX_III!B26&amp;", ","")&amp;IF((XXX_III!C27="DF")*(XXX_III!E27&lt;&gt;0),XXX_III!B27&amp;", ","")&amp;IF((XXX_III!C28="DF")*(XXX_III!E28&lt;&gt;0),XXX_III!B28&amp;", ","")&amp;IF((XXX_III!C29="DF")*(XXX_III!E29&lt;&gt;0),XXX_III!B29&amp;", ","")&amp;IF((XXX_III!C30="DF")*(XXX_III!E30&lt;&gt;0),XXX_III!B30&amp;", ","")&amp;IF((XXX_III!C31="DF")*(XXX_III!E31&lt;&gt;0),XXX_III!B31&amp;", ","")&amp;IF((XXX_III!C32="DF")*(XXX_III!E32&lt;&gt;0),XXX_III!B32&amp;", ","")&amp;IF((XXX_III!C33="DF")*(XXX_III!E33&lt;&gt;0),XXX_III!B33&amp;", ","")&amp;IF((XXX_III!C34="DF")*(XXX_III!E34&lt;&gt;0),XXX_III!B34&amp;", ","")&amp;IF((XXX_III!C35="DF")*(XXX_III!E35&lt;&gt;0),XXX_III!B35&amp;", ","")&amp;IF((XXX_III!C36="DF")*(XXX_III!E36&lt;&gt;0),XXX_III!B36&amp;", ","")&amp;IF((XXX_III!C37="DF")*(XXX_III!E37&lt;&gt;0),XXX_III!B37&amp;", ","")&amp;IF((XXX_III!C38="DF")*(XXX_III!E38&lt;&gt;0),XXX_III!B38&amp;", ","")&amp;IF((XXX_III!C39="DF")*(XXX_III!E39&lt;&gt;0),XXX_III!B39&amp;", ","")&amp;IF((XXX_III!C40="DF")*(XXX_III!E40&lt;&gt;0),XXX_III!B40&amp;", ","")&amp;IF((XXX_III!C41="DF")*(XXX_III!E41&lt;&gt;0),XXX_III!B41&amp;", ","")&amp;IF((XXX_III!C42="DF")*(XXX_III!E42&lt;&gt;0),XXX_III!B42&amp;", ","")&amp;IF((XXX_III!C43="DF")*(XXX_III!E43&lt;&gt;0),XXX_III!B47&amp;", ","")&amp;IF((XXX_III!C44="DF")*(XXX_III!E44&lt;&gt;0),XXX_III!B44&amp;", ","")&amp;IF((XXX_III!C45="DF")*(XXX_III!E45&lt;&gt;0),XXX_III!B45&amp;", ","")&amp;IF((XXX_III!C46="DF")*(XXX_III!E46&lt;&gt;0),XXX_III!B46&amp;", ","")&amp;IF((XXX_III!C47="DF")*(XXX_III!E47&lt;&gt;0),XXX_III!B47&amp;", ","")&amp;IF((XXX_III!C50="DF")*(XXX_III!E50&lt;&gt;0),XXX_III!B50&amp;", ","")</f>
        <v/>
      </c>
      <c r="C76" s="350">
        <f>IF(XXX_III!F7&lt;&gt;0,XXX_III!F7*(SUMIFS(XXX_III!F12:F50,XXX_III!C12:C50,"=DF",XXX_III!E12:E50,"&lt;&gt;0",XXX_III!D12:D50,"&lt;&gt;DFac")+SUMIFS(XXX_III!G12:G50,XXX_III!C12:C50,"=DF",XXX_III!E12:E50,"&lt;&gt;0",XXX_III!D12:D50,"&lt;&gt;DFac")+SUMIFS(XXX_III!H12:H50,XXX_III!C12:C50,"=DF",XXX_III!E12:E50,"&lt;&gt;0",XXX_III!D12:D50,"&lt;&gt;DFac")+SUMIFS(XXX_III!I12:I50,XXX_III!C12:C50,"=DF",XXX_III!E12:E50,"&lt;&gt;0",XXX_III!D12:D50,"&lt;&gt;DFac")),14*(SUMIFS(XXX_III!F12:F50,XXX_III!C12:C50,"=DF",XXX_III!E12:E50,"&lt;&gt;0",XXX_III!D12:D50,"&lt;&gt;DFac")+SUMIFS(XXX_III!G12:G50,XXX_III!C12:C50,"=DF",XXX_III!E12:E50,"&lt;&gt;0",XXX_III!D12:D50,"&lt;&gt;DFac")+SUMIFS(XXX_III!H12:H50,XXX_III!C12:C50,"=DF",XXX_III!E12:E50,"&lt;&gt;0",XXX_III!D12:D50,"&lt;&gt;DFac")+SUMIFS(XXX_III!I12:I50,XXX_III!C12:C50,"=DF",XXX_III!E12:E50,"&lt;&gt;0",XXX_III!D12:D50,"&lt;&gt;DFac")))+IF(XXX_III!L7&lt;&gt;0,XXX_III!L7*(SUMIFS(XXX_III!L12:L50,XXX_III!C12:C50,"=DF",XXX_III!E12:E50,"&lt;&gt;0",XXX_III!D12:D50,"&lt;&gt;DFac")+SUMIFS(XXX_III!M12:M50,XXX_III!C12:C50,"=DF",XXX_III!E12:E50,"&lt;&gt;0",XXX_III!D12:D50,"&lt;&gt;DFac")+SUMIFS(XXX_III!N12:N50,XXX_III!C12:C50,"=DF",XXX_III!E12:E50,"&lt;&gt;0",XXX_III!D12:D50,"&lt;&gt;DFac")+SUMIFS(XXX_III!O12:O50,XXX_III!C12:C50,"=DF",XXX_III!E12:E50,"&lt;&gt;0",XXX_III!D12:D50,"&lt;&gt;DFac")),14*(SUMIFS(XXX_III!L12:L50,XXX_III!C12:C50,"=DF",XXX_III!E12:E50,"&lt;&gt;0",XXX_III!D12:D50,"&lt;&gt;DFac")+SUMIFS(XXX_III!M12:M50,XXX_III!C12:C50,"=DF",XXX_III!E12:E50,"&lt;&gt;0",XXX_III!D12:D50,"&lt;&gt;DFac")+SUMIFS(XXX_III!N12:N50,XXX_III!C12:C50,"=DF",XXX_III!E12:E50,"&lt;&gt;0",XXX_III!D12:D50,"&lt;&gt;DFac")+SUMIFS(XXX_III!O12:O50,XXX_III!C12:C50,"=DF",XXX_III!E12:E50,"&lt;&gt;0",XXX_III!D12:D50,"&lt;&gt;DFac")))</f>
        <v>0</v>
      </c>
      <c r="D76" s="209"/>
      <c r="E76" s="210"/>
      <c r="F76" s="211"/>
      <c r="G76" s="175"/>
      <c r="H76" s="176"/>
    </row>
    <row r="77" spans="1:9" ht="60" x14ac:dyDescent="0.25">
      <c r="A77" s="178" t="s">
        <v>45</v>
      </c>
      <c r="B77" s="342" t="str">
        <f>IF((XXX_III!C12="DD")*(XXX_III!E12&lt;&gt;0),XXX_III!B12&amp;", ","")&amp;IF((XXX_III!C13="DD")*(XXX_III!E13&lt;&gt;0),XXX_III!B13&amp;", ","")&amp;IF((XXX_III!C14="DD")*(XXX_III!E14&lt;&gt;0),XXX_III!B14&amp;", ","")&amp;IF((XXX_III!C15="DD")*(XXX_III!E15&lt;&gt;0),XXX_III!B15&amp;", ","")&amp;IF((XXX_III!C16="DD")*(XXX_III!E16&lt;&gt;0),XXX_III!B16&amp;", ","")&amp;IF((XXX_III!C17="DD")*(XXX_III!E17&lt;&gt;0),XXX_III!B17&amp;", ","")&amp;IF((XXX_III!C18="DD")*(XXX_III!E18&lt;&gt;0),XXX_III!B18&amp;", ","")&amp;IF((XXX_III!C19="DD")*(XXX_III!E19&lt;&gt;0),XXX_III!B19&amp;", ","")&amp;IF((XXX_III!C20="DD")*(XXX_III!E20&lt;&gt;0),XXX_III!B20&amp;", ","")&amp;IF((XXX_III!C21="DD")*(XXX_III!E21&lt;&gt;0),XXX_III!B21&amp;", ","")&amp;IF((XXX_III!C22="DD")*(XXX_III!E22&lt;&gt;0),XXX_III!B22&amp;", ","")&amp;IF((XXX_III!C23="DD")*(XXX_III!E23&lt;&gt;0),XXX_III!B23&amp;", ","")&amp;IF((XXX_III!C24="DD")*(XXX_III!E24&lt;&gt;0),XXX_III!B24&amp;", ","")&amp;IF((XXX_III!C25="DD")*(XXX_III!E25&lt;&gt;0),XXX_III!B25&amp;", ","")&amp;IF((XXX_III!C26="DD")*(XXX_III!E26&lt;&gt;0),XXX_III!B26&amp;", ","")&amp;IF((XXX_III!C27="DD")*(XXX_III!E27&lt;&gt;0),XXX_III!B27&amp;", ","")&amp;IF((XXX_III!C28="DD")*(XXX_III!E28&lt;&gt;0),XXX_III!B28&amp;", ","")&amp;IF((XXX_III!C29="DD")*(XXX_III!E29&lt;&gt;0),XXX_III!B29&amp;", ","")&amp;IF((XXX_III!C30="DD")*(XXX_III!E30&lt;&gt;0),XXX_III!B30&amp;", ","")&amp;IF((XXX_III!C31="DD")*(XXX_III!E31&lt;&gt;0),XXX_III!B31&amp;", ","")&amp;IF((XXX_III!C32="DD")*(XXX_III!E32&lt;&gt;0),XXX_III!B32&amp;", ","")&amp;IF((XXX_III!C33="DD")*(XXX_III!E33&lt;&gt;0),XXX_III!B33&amp;", ","")&amp;IF((XXX_III!C34="DD")*(XXX_III!E34&lt;&gt;0),XXX_III!B34&amp;", ","")&amp;IF((XXX_III!C35="DD")*(XXX_III!E35&lt;&gt;0),XXX_III!B35&amp;", ","")&amp;IF((XXX_III!C36="DD")*(XXX_III!E36&lt;&gt;0),XXX_III!B36&amp;", ","")&amp;IF((XXX_III!C37="DD")*(XXX_III!E37&lt;&gt;0),XXX_III!B37&amp;", ","")&amp;IF((XXX_III!C38="DD")*(XXX_III!E38&lt;&gt;0),XXX_III!B38&amp;", ","")&amp;IF((XXX_III!C39="DD")*(XXX_III!E39&lt;&gt;0),XXX_III!B39&amp;", ","")&amp;IF((XXX_III!C40="DD")*(XXX_III!E40&lt;&gt;0),XXX_III!B40&amp;", ","")&amp;IF((XXX_III!C41="DD")*(XXX_III!E41&lt;&gt;0),XXX_III!B41&amp;", ","")&amp;IF((XXX_III!C42="DD")*(XXX_III!E42&lt;&gt;0),XXX_III!B42&amp;", ","")&amp;IF((XXX_III!C43="DD")*(XXX_III!E43&lt;&gt;0),XXX_III!B47&amp;", ","")&amp;IF((XXX_III!C44="DD")*(XXX_III!E44&lt;&gt;0),XXX_III!B44&amp;", ","")&amp;IF((XXX_III!C45="DD")*(XXX_III!E45&lt;&gt;0),XXX_III!B45&amp;", ","")&amp;IF((XXX_III!C46="DD")*(XXX_III!E46&lt;&gt;0),XXX_III!B46&amp;", ","")&amp;IF((XXX_III!C47="DD")*(XXX_III!E47&lt;&gt;0),XXX_III!B47&amp;", ","")&amp;IF((XXX_III!C50="DD")*(XXX_III!E50&lt;&gt;0),XXX_III!B50&amp;", ","")</f>
        <v xml:space="preserve">D35ROBL502, D35ROBL503, D35ROBL505, D35ROBL506, D35ROBL507, D35ROBL508, D35ROBL601, D35ROBL602, D35ROBL603, D35ROBL604, D35ROBL605, D35ROBL608, </v>
      </c>
      <c r="C77" s="351">
        <f>IF(XXX_III!F7&lt;&gt;0,XXX_III!F7*(SUMIFS(XXX_III!F12:F50,XXX_III!C12:C50,"=DD",XXX_III!E12:E50,"&lt;&gt;0",XXX_III!D12:D50,"&lt;&gt;DFac")+SUMIFS(XXX_III!G12:G50,XXX_III!C12:C50,"=DD",XXX_III!E12:E50,"&lt;&gt;0",XXX_III!D12:D50,"&lt;&gt;DFac")+SUMIFS(XXX_III!H12:H50,XXX_III!C12:C50,"=DD",XXX_III!E12:E50,"&lt;&gt;0",XXX_III!D12:D50,"&lt;&gt;DFac")+SUMIFS(XXX_III!I12:I50,XXX_III!C12:C50,"=DD",XXX_III!E12:E50,"&lt;&gt;0",XXX_III!D12:D50,"&lt;&gt;DFac")),14*(SUMIFS(XXX_III!F12:F50,XXX_III!C12:C50,"=DD",XXX_III!E12:E50,"&lt;&gt;0",XXX_III!D12:D50,"&lt;&gt;DFac")+SUMIFS(XXX_III!G12:G50,XXX_III!C12:C50,"=DD",XXX_III!E12:E50,"&lt;&gt;0",XXX_III!D12:D50,"&lt;&gt;DFac")+SUMIFS(XXX_III!H12:H50,XXX_III!C12:C50,"=DD",XXX_III!E12:E50,"&lt;&gt;0",XXX_III!D12:D50,"&lt;&gt;DFac")+SUMIFS(XXX_III!I12:I50,XXX_III!C12:C50,"=DD",XXX_III!E12:E50,"&lt;&gt;0",XXX_III!D12:D50,"&lt;&gt;DFac")))+IF(XXX_III!L7&lt;&gt;0,XXX_III!L7*(SUMIFS(XXX_III!L12:L50,XXX_III!C12:C50,"=DD",XXX_III!E12:E50,"&lt;&gt;0",XXX_III!D12:D50,"&lt;&gt;DFac")+SUMIFS(XXX_III!M12:M50,XXX_III!C12:C50,"=DD",XXX_III!E12:E50,"&lt;&gt;0",XXX_III!D12:D50,"&lt;&gt;DFac")+SUMIFS(XXX_III!N12:N50,XXX_III!C12:C50,"=DD",XXX_III!E12:E50,"&lt;&gt;0",XXX_III!D12:D50,"&lt;&gt;DFac")+SUMIFS(XXX_III!O12:O50,XXX_III!C12:C50,"=DD",XXX_III!E12:E50,"&lt;&gt;0",XXX_III!D12:D50,"&lt;&gt;DFac")),14*(SUMIFS(XXX_III!L12:L50,XXX_III!C12:C50,"=DD",XXX_III!E12:E50,"&lt;&gt;0",XXX_III!D12:D50,"&lt;&gt;DFac")+SUMIFS(XXX_III!M12:M50,XXX_III!C12:C50,"=DD",XXX_III!E12:E50,"&lt;&gt;0",XXX_III!D12:D50,"&lt;&gt;DFac")+SUMIFS(XXX_III!N12:N50,XXX_III!C12:C50,"=DD",XXX_III!E12:E50,"&lt;&gt;0",XXX_III!D12:D50,"&lt;&gt;DFac")+SUMIFS(XXX_III!O12:O50,XXX_III!C12:C50,"=DD",XXX_III!E12:E50,"&lt;&gt;0",XXX_III!D12:D50,"&lt;&gt;DFac")))</f>
        <v>448</v>
      </c>
      <c r="D77" s="213"/>
      <c r="E77" s="214"/>
      <c r="F77" s="215"/>
      <c r="G77" s="180"/>
      <c r="H77" s="181"/>
    </row>
    <row r="78" spans="1:9" ht="45" x14ac:dyDescent="0.25">
      <c r="A78" s="178" t="s">
        <v>46</v>
      </c>
      <c r="B78" s="342" t="str">
        <f>IF((XXX_III!C12="DS")*(XXX_III!E12&lt;&gt;0),XXX_III!B12&amp;", ","")&amp;IF((XXX_III!C13="DS")*(XXX_III!E13&lt;&gt;0),XXX_III!B13&amp;", ","")&amp;IF((XXX_III!C14="DS")*(XXX_III!E14&lt;&gt;0),XXX_III!B14&amp;", ","")&amp;IF((XXX_III!C15="DS")*(XXX_III!E15&lt;&gt;0),XXX_III!B15&amp;", ","")&amp;IF((XXX_III!C16="DS")*(XXX_III!E16&lt;&gt;0),XXX_III!B16&amp;", ","")&amp;IF((XXX_III!C17="DS")*(XXX_III!E17&lt;&gt;0),XXX_III!B17&amp;", ","")&amp;IF((XXX_III!C18="DS")*(XXX_III!E18&lt;&gt;0),XXX_III!B18&amp;", ","")&amp;IF((XXX_III!C19="DS")*(XXX_III!E19&lt;&gt;0),XXX_III!B19&amp;", ","")&amp;IF((XXX_III!C20="DS")*(XXX_III!E20&lt;&gt;0),XXX_III!B20&amp;", ","")&amp;IF((XXX_III!C21="DS")*(XXX_III!E21&lt;&gt;0),XXX_III!B21&amp;", ","")&amp;IF((XXX_III!C22="DS")*(XXX_III!E22&lt;&gt;0),XXX_III!B22&amp;", ","")&amp;IF((XXX_III!C23="DS")*(XXX_III!E23&lt;&gt;0),XXX_III!B23&amp;", ","")&amp;IF((XXX_III!C24="DS")*(XXX_III!E24&lt;&gt;0),XXX_III!B24&amp;", ","")&amp;IF((XXX_III!C25="DS")*(XXX_III!E25&lt;&gt;0),XXX_III!B25&amp;", ","")&amp;IF((XXX_III!C26="DS")*(XXX_III!E26&lt;&gt;0),XXX_III!B26&amp;", ","")&amp;IF((XXX_III!C27="DS")*(XXX_III!E27&lt;&gt;0),XXX_III!B27&amp;", ","")&amp;IF((XXX_III!C28="DS")*(XXX_III!E28&lt;&gt;0),XXX_III!B28&amp;", ","")&amp;IF((XXX_III!C29="DS")*(XXX_III!E29&lt;&gt;0),XXX_III!B29&amp;", ","")&amp;IF((XXX_III!C30="DS")*(XXX_III!E30&lt;&gt;0),XXX_III!B30&amp;", ","")&amp;IF((XXX_III!C31="DS")*(XXX_III!E31&lt;&gt;0),XXX_III!B31&amp;", ","")&amp;IF((XXX_III!C32="DS")*(XXX_III!E32&lt;&gt;0),XXX_III!B32&amp;", ","")&amp;IF((XXX_III!C33="DS")*(XXX_III!E33&lt;&gt;0),XXX_III!B33&amp;", ","")&amp;IF((XXX_III!C34="DS")*(XXX_III!E34&lt;&gt;0),XXX_III!B34&amp;", ","")&amp;IF((XXX_III!C35="DS")*(XXX_III!E35&lt;&gt;0),XXX_III!B35&amp;", ","")&amp;IF((XXX_III!C36="DS")*(XXX_III!E36&lt;&gt;0),XXX_III!B36&amp;", ","")&amp;IF((XXX_III!C37="DS")*(XXX_III!E37&lt;&gt;0),XXX_III!B37&amp;", ","")&amp;IF((XXX_III!C38="DS")*(XXX_III!E38&lt;&gt;0),XXX_III!B38&amp;", ","")&amp;IF((XXX_III!C39="DS")*(XXX_III!E39&lt;&gt;0),XXX_III!B39&amp;", ","")&amp;IF((XXX_III!C40="DS")*(XXX_III!E40&lt;&gt;0),XXX_III!B40&amp;", ","")&amp;IF((XXX_III!C41="DS")*(XXX_III!E41&lt;&gt;0),XXX_III!B41&amp;", ","")&amp;IF((XXX_III!C42="DS")*(XXX_III!E42&lt;&gt;0),XXX_III!B42&amp;", ","")&amp;IF((XXX_III!C43="DS")*(XXX_III!E43&lt;&gt;0),XXX_III!B47&amp;", ","")&amp;IF((XXX_III!C44="DS")*(XXX_III!E44&lt;&gt;0),XXX_III!B44&amp;", ","")&amp;IF((XXX_III!C45="DS")*(XXX_III!E45&lt;&gt;0),XXX_III!B45&amp;", ","")&amp;IF((XXX_III!C46="DS")*(XXX_III!E46&lt;&gt;0),XXX_III!B46&amp;", ","")&amp;IF((XXX_III!C47="DS")*(XXX_III!E47&lt;&gt;0),XXX_III!B47&amp;", ","")&amp;IF((XXX_III!C50="DS")*(XXX_III!E50&lt;&gt;0),XXX_III!B50&amp;", ","")</f>
        <v xml:space="preserve">D35ROBL501, D35ROBL504, D35ROBL606, D35ROBL607, D35ROBL609, D35ROBL610, D35ROBL611, </v>
      </c>
      <c r="C78" s="351">
        <f>IF(XXX_III!F7&lt;&gt;0,XXX_III!F7*(SUMIFS(XXX_III!F12:F50,XXX_III!C12:C50,"=DS",XXX_III!E12:E50,"&lt;&gt;0",XXX_III!D12:D50,"&lt;&gt;DFac")+SUMIFS(XXX_III!G12:G50,XXX_III!C12:C50,"=DS",XXX_III!E12:E50,"&lt;&gt;0",XXX_III!D12:D50,"&lt;&gt;DFac")+SUMIFS(XXX_III!H12:H50,XXX_III!C12:C50,"=DS",XXX_III!E12:E50,"&lt;&gt;0",XXX_III!D12:D50,"&lt;&gt;DFac")+SUMIFS(XXX_III!I12:I50,XXX_III!C12:C50,"=DS",XXX_III!E12:E50,"&lt;&gt;0",XXX_III!D12:D50,"&lt;&gt;DFac")),14*(SUMIFS(XXX_III!F12:F50,XXX_III!C12:C50,"=DS",XXX_III!E12:E50,"&lt;&gt;0",XXX_III!D12:D50,"&lt;&gt;DFac")+SUMIFS(XXX_III!G12:G50,XXX_III!C12:C50,"=DS",XXX_III!E12:E50,"&lt;&gt;0",XXX_III!D12:D50,"&lt;&gt;DFac")+SUMIFS(XXX_III!H12:H50,XXX_III!C12:C50,"=DS",XXX_III!E12:E50,"&lt;&gt;0",XXX_III!D12:D50,"&lt;&gt;DFac")+SUMIFS(XXX_III!I12:I50,XXX_III!C12:C50,"=DS",XXX_III!E12:E50,"&lt;&gt;0",XXX_III!D12:D50,"&lt;&gt;DFac")))+IF(XXX_III!L7&lt;&gt;0,XXX_III!L7*(SUMIFS(XXX_III!L12:L50,XXX_III!C12:C50,"=DS",XXX_III!E12:E50,"&lt;&gt;0",XXX_III!D12:D50,"&lt;&gt;DFac")+SUMIFS(XXX_III!M12:M50,XXX_III!C12:C50,"=DS",XXX_III!E12:E50,"&lt;&gt;0",XXX_III!D12:D50,"&lt;&gt;DFac")+SUMIFS(XXX_III!N12:N50,XXX_III!C12:C50,"=DS",XXX_III!E12:E50,"&lt;&gt;0",XXX_III!D12:D50,"&lt;&gt;DFac")+SUMIFS(XXX_III!O12:O50,XXX_III!C12:C50,"=DS",XXX_III!E12:E50,"&lt;&gt;0",XXX_III!D12:D50,"&lt;&gt;DFac")),14*(SUMIFS(XXX_III!L12:L50,XXX_III!C12:C50,"=DS",XXX_III!E12:E50,"&lt;&gt;0",XXX_III!D12:D50,"&lt;&gt;DFac")+SUMIFS(XXX_III!M12:M50,XXX_III!C12:C50,"=DS",XXX_III!E12:E50,"&lt;&gt;0",XXX_III!D12:D50,"&lt;&gt;DFac")+SUMIFS(XXX_III!N12:N50,XXX_III!C12:C50,"=DS",XXX_III!E12:E50,"&lt;&gt;0",XXX_III!D12:D50,"&lt;&gt;DFac")+SUMIFS(XXX_III!O12:O50,XXX_III!C12:C50,"=DS",XXX_III!E12:E50,"&lt;&gt;0",XXX_III!D12:D50,"&lt;&gt;DFac")))</f>
        <v>426.02</v>
      </c>
      <c r="D78" s="213"/>
      <c r="E78" s="214"/>
      <c r="F78" s="215"/>
      <c r="G78" s="180"/>
      <c r="H78" s="181"/>
      <c r="I78" s="183"/>
    </row>
    <row r="79" spans="1:9" ht="15.75" thickBot="1" x14ac:dyDescent="0.3">
      <c r="A79" s="186" t="s">
        <v>47</v>
      </c>
      <c r="B79" s="343" t="str">
        <f>IF((XXX_III!C12="DC")*(XXX_III!E12&lt;&gt;0),XXX_III!B12&amp;", ","")&amp;IF((XXX_III!C13="DC")*(XXX_III!E13&lt;&gt;0),XXX_III!B13&amp;", ","")&amp;IF((XXX_III!C14="DC")*(XXX_III!E14&lt;&gt;0),XXX_III!B14&amp;", ","")&amp;IF((XXX_III!C15="DC")*(XXX_III!E15&lt;&gt;0),XXX_III!B15&amp;", ","")&amp;IF((XXX_III!C16="DC")*(XXX_III!E16&lt;&gt;0),XXX_III!B16&amp;", ","")&amp;IF((XXX_III!C17="DC")*(XXX_III!E17&lt;&gt;0),XXX_III!B17&amp;", ","")&amp;IF((XXX_III!C18="DC")*(XXX_III!E18&lt;&gt;0),XXX_III!B18&amp;", ","")&amp;IF((XXX_III!C19="DC")*(XXX_III!E19&lt;&gt;0),XXX_III!B19&amp;", ","")&amp;IF((XXX_III!C20="DC")*(XXX_III!E20&lt;&gt;0),XXX_III!B20&amp;", ","")&amp;IF((XXX_III!C21="DC")*(XXX_III!E21&lt;&gt;0),XXX_III!B21&amp;", ","")&amp;IF((XXX_III!C22="DC")*(XXX_III!E22&lt;&gt;0),XXX_III!B22&amp;", ","")&amp;IF((XXX_III!C23="DC")*(XXX_III!E23&lt;&gt;0),XXX_III!B23&amp;", ","")&amp;IF((XXX_III!C24="DC")*(XXX_III!E24&lt;&gt;0),XXX_III!B24&amp;", ","")&amp;IF((XXX_III!C25="DC")*(XXX_III!E25&lt;&gt;0),XXX_III!B25&amp;", ","")&amp;IF((XXX_III!C26="DC")*(XXX_III!E26&lt;&gt;0),XXX_III!B26&amp;", ","")&amp;IF((XXX_III!C27="DC")*(XXX_III!E27&lt;&gt;0),XXX_III!B27&amp;", ","")&amp;IF((XXX_III!C28="DC")*(XXX_III!E28&lt;&gt;0),XXX_III!B28&amp;", ","")&amp;IF((XXX_III!C29="DC")*(XXX_III!E29&lt;&gt;0),XXX_III!B29&amp;", ","")&amp;IF((XXX_III!C30="DC")*(XXX_III!E30&lt;&gt;0),XXX_III!B30&amp;", ","")&amp;IF((XXX_III!C31="DC")*(XXX_III!E31&lt;&gt;0),XXX_III!B31&amp;", ","")&amp;IF((XXX_III!C32="DC")*(XXX_III!E32&lt;&gt;0),XXX_III!B32&amp;", ","")&amp;IF((XXX_III!C33="DC")*(XXX_III!E33&lt;&gt;0),XXX_III!B33&amp;", ","")&amp;IF((XXX_III!C34="DC")*(XXX_III!E34&lt;&gt;0),XXX_III!B34&amp;", ","")&amp;IF((XXX_III!C35="DC")*(XXX_III!E35&lt;&gt;0),XXX_III!B35&amp;", ","")&amp;IF((XXX_III!C36="DC")*(XXX_III!E36&lt;&gt;0),XXX_III!B36&amp;", ","")&amp;IF((XXX_III!C37="DC")*(XXX_III!E37&lt;&gt;0),XXX_III!B37&amp;", ","")&amp;IF((XXX_III!C38="DC")*(XXX_III!E38&lt;&gt;0),XXX_III!B38&amp;", ","")&amp;IF((XXX_III!C39="DC")*(XXX_III!E39&lt;&gt;0),XXX_III!B39&amp;", ","")&amp;IF((XXX_III!C40="DC")*(XXX_III!E40&lt;&gt;0),XXX_III!B40&amp;", ","")&amp;IF((XXX_III!C41="DC")*(XXX_III!E41&lt;&gt;0),XXX_III!B41&amp;", ","")&amp;IF((XXX_III!C42="DC")*(XXX_III!E42&lt;&gt;0),XXX_III!B42&amp;", ","")&amp;IF((XXX_III!C43="DC")*(XXX_III!E43&lt;&gt;0),XXX_III!B47&amp;", ","")&amp;IF((XXX_III!C44="DC")*(XXX_III!E44&lt;&gt;0),XXX_III!B44&amp;", ","")&amp;IF((XXX_III!C45="DC")*(XXX_III!E45&lt;&gt;0),XXX_III!B45&amp;", ","")&amp;IF((XXX_III!C46="DC")*(XXX_III!E46&lt;&gt;0),XXX_III!B46&amp;", ","")&amp;IF((XXX_III!C47="DC")*(XXX_III!E47&lt;&gt;0),XXX_III!B47&amp;", ","")&amp;IF((XXX_III!C50="DC")*(XXX_III!E50&lt;&gt;0),XXX_III!B50&amp;", ","")</f>
        <v/>
      </c>
      <c r="C79" s="352">
        <f>IF(XXX_III!F7&lt;&gt;0,XXX_III!F7*(SUMIFS(XXX_III!F12:F50,XXX_III!C12:C50,"=DC",XXX_III!E12:E50,"&lt;&gt;0",XXX_III!D12:D50,"&lt;&gt;DFac")+SUMIFS(XXX_III!G12:G50,XXX_III!C12:C50,"=DC",XXX_III!E12:E50,"&lt;&gt;0",XXX_III!D12:D50,"&lt;&gt;DFac")+SUMIFS(XXX_III!H12:H50,XXX_III!C12:C50,"=DC",XXX_III!E12:E50,"&lt;&gt;0",XXX_III!D12:D50,"&lt;&gt;DFac")+SUMIFS(XXX_III!I12:I50,XXX_III!C12:C50,"=DC",XXX_III!E12:E50,"&lt;&gt;0",XXX_III!D12:D50,"&lt;&gt;DFac")),14*(SUMIFS(XXX_III!F12:F50,XXX_III!C12:C50,"=DC",XXX_III!E12:E50,"&lt;&gt;0",XXX_III!D12:D50,"&lt;&gt;DFac")+SUMIFS(XXX_III!G12:G50,XXX_III!C12:C50,"=DC",XXX_III!E12:E50,"&lt;&gt;0",XXX_III!D12:D50,"&lt;&gt;DFac")+SUMIFS(XXX_III!H12:H50,XXX_III!C12:C50,"=DC",XXX_III!E12:E50,"&lt;&gt;0",XXX_III!D12:D50,"&lt;&gt;DFac")+SUMIFS(XXX_III!I12:I50,XXX_III!C12:C50,"=DC",XXX_III!E12:E50,"&lt;&gt;0",XXX_III!D12:D50,"&lt;&gt;DFac")))+IF(XXX_III!L7&lt;&gt;0,XXX_III!L7*(SUMIFS(XXX_III!L12:L50,XXX_III!C12:C50,"=DC",XXX_III!E12:E50,"&lt;&gt;0",XXX_III!D12:D50,"&lt;&gt;DFac")+SUMIFS(XXX_III!M12:M50,XXX_III!C12:C50,"=DC",XXX_III!E12:E50,"&lt;&gt;0",XXX_III!D12:D50,"&lt;&gt;DFac")+SUMIFS(XXX_III!N12:N50,XXX_III!C12:C50,"=DC",XXX_III!E12:E50,"&lt;&gt;0",XXX_III!D12:D50,"&lt;&gt;DFac")+SUMIFS(XXX_III!O12:O50,XXX_III!C12:C50,"=DC",XXX_III!E12:E50,"&lt;&gt;0",XXX_III!D12:D50,"&lt;&gt;DFac")),14*(SUMIFS(XXX_III!L12:L50,XXX_III!C12:C50,"=DC",XXX_III!E12:E50,"&lt;&gt;0",XXX_III!D12:D50,"&lt;&gt;DFac")+SUMIFS(XXX_III!M12:M50,XXX_III!C12:C50,"=DC",XXX_III!E12:E50,"&lt;&gt;0",XXX_III!D12:D50,"&lt;&gt;DFac")+SUMIFS(XXX_III!N12:N50,XXX_III!C12:C50,"=DC",XXX_III!E12:E50,"&lt;&gt;0",XXX_III!D12:D50,"&lt;&gt;DFac")+SUMIFS(XXX_III!O12:O50,XXX_III!C12:C50,"=DC",XXX_III!E12:E50,"&lt;&gt;0",XXX_III!D12:D50,"&lt;&gt;DFac")))</f>
        <v>0</v>
      </c>
      <c r="D79" s="216"/>
      <c r="E79" s="217"/>
      <c r="F79" s="218"/>
      <c r="G79" s="188"/>
      <c r="H79" s="189"/>
    </row>
    <row r="80" spans="1:9" x14ac:dyDescent="0.25">
      <c r="A80" s="185"/>
      <c r="B80" s="346"/>
    </row>
    <row r="81" spans="1:9" x14ac:dyDescent="0.25">
      <c r="C81" s="347">
        <f>SUM(C76:C80)</f>
        <v>874.02</v>
      </c>
    </row>
    <row r="82" spans="1:9" ht="15.75" thickBot="1" x14ac:dyDescent="0.3">
      <c r="A82" s="166" t="s">
        <v>52</v>
      </c>
      <c r="D82" s="167"/>
      <c r="E82" s="167"/>
      <c r="F82" s="167"/>
      <c r="G82" s="167"/>
      <c r="H82" s="167"/>
    </row>
    <row r="83" spans="1:9" ht="15.75" thickBot="1" x14ac:dyDescent="0.3">
      <c r="A83" s="170" t="s">
        <v>18</v>
      </c>
      <c r="B83" s="340" t="s">
        <v>17</v>
      </c>
      <c r="C83" s="349" t="s">
        <v>24</v>
      </c>
      <c r="D83" s="170" t="s">
        <v>16</v>
      </c>
      <c r="E83" s="549" t="s">
        <v>26</v>
      </c>
      <c r="F83" s="550"/>
      <c r="G83" s="551" t="s">
        <v>25</v>
      </c>
      <c r="H83" s="552"/>
    </row>
    <row r="84" spans="1:9" ht="105" x14ac:dyDescent="0.25">
      <c r="A84" s="173" t="s">
        <v>48</v>
      </c>
      <c r="B84" s="341" t="str">
        <f>IF((XXX_III!D12="DI")*(XXX_III!E12&lt;&gt;0),XXX_III!B12&amp;", ","")&amp;IF((XXX_III!D13="DI")*(XXX_III!E13&lt;&gt;0),XXX_III!B13&amp;", ","")&amp;IF((XXX_III!D14="DI")*(XXX_III!E14&lt;&gt;0),XXX_III!B14&amp;", ","")&amp;IF((XXX_III!D15="DI")*(XXX_III!E15&lt;&gt;0),XXX_III!B15&amp;", ","")&amp;IF((XXX_III!D16="DI")*(XXX_III!E16&lt;&gt;0),XXX_III!B16&amp;", ","")&amp;IF((XXX_III!D17="DI")*(XXX_III!E17&lt;&gt;0),XXX_III!B17&amp;", ","")&amp;IF((XXX_III!D18="DI")*(XXX_III!E18&lt;&gt;0),XXX_III!B18&amp;", ","")&amp;IF((XXX_III!D19="DI")*(XXX_III!E19&lt;&gt;0),XXX_III!B19&amp;", ","")&amp;IF((XXX_III!D20="DI")*(XXX_III!E20&lt;&gt;0),XXX_III!B20&amp;", ","")&amp;IF((XXX_III!D21="DI")*(XXX_III!E21&lt;&gt;0),XXX_III!B21&amp;", ","")&amp;IF((XXX_III!D22="DI")*(XXX_III!E22&lt;&gt;0),XXX_III!B22&amp;", ","")&amp;IF((XXX_III!D23="DI")*(XXX_III!E23&lt;&gt;0),XXX_III!B23&amp;", ","")&amp;IF((XXX_III!D24="DI")*(XXX_III!E24&lt;&gt;0),XXX_III!B24&amp;", ","")&amp;IF((XXX_III!D25="DI")*(XXX_III!E25&lt;&gt;0),XXX_III!B25&amp;", ","")&amp;IF((XXX_III!D26="DI")*(XXX_III!E26&lt;&gt;0),XXX_III!B26&amp;", ","")&amp;IF((XXX_III!D27="DI")*(XXX_III!E27&lt;&gt;0),XXX_III!B27&amp;", ","")&amp;IF((XXX_III!D28="DI")*(XXX_III!E28&lt;&gt;0),XXX_III!B28&amp;", ","")&amp;IF((XXX_III!D29="DI")*(XXX_III!E29&lt;&gt;0),XXX_III!B29&amp;", ","")&amp;IF((XXX_III!D30="DI")*(XXX_III!E30&lt;&gt;0),XXX_III!B30&amp;", ","")&amp;IF((XXX_III!D31="DI")*(XXX_III!E31&lt;&gt;0),XXX_III!B31&amp;", ","")&amp;IF((XXX_III!D32="DI")*(XXX_III!E32&lt;&gt;0),XXX_III!B32&amp;", ","")&amp;IF((XXX_III!D33="DI")*(XXX_III!E33&lt;&gt;0),XXX_III!B33&amp;", ","")&amp;IF((XXX_III!D34="DI")*(XXX_III!E34&lt;&gt;0),XXX_III!B34&amp;", ","")&amp;IF((XXX_III!D35="DI")*(XXX_III!E35&lt;&gt;0),XXX_III!B35&amp;", ","")&amp;IF((XXX_III!D36="DI")*(XXX_III!E36&lt;&gt;0),XXX_III!B36&amp;", ","")&amp;IF((XXX_III!D37="DI")*(XXX_III!E37&lt;&gt;0),XXX_III!B37&amp;", ","")&amp;IF((XXX_III!D38="DI")*(XXX_III!E38&lt;&gt;0),XXX_III!B38&amp;", ","")&amp;IF((XXX_III!D39="DI")*(XXX_III!E39&lt;&gt;0),XXX_III!B39&amp;", ","")&amp;IF((XXX_III!D40="DI")*(XXX_III!E40&lt;&gt;0),XXX_III!B40&amp;", ","")&amp;IF((XXX_III!D41="DI")*(XXX_III!E41&lt;&gt;0),XXX_III!B41&amp;", ","")&amp;IF((XXX_III!D42="DI")*(XXX_III!E42&lt;&gt;0),XXX_III!B42&amp;", ","")&amp;IF((XXX_III!D43="DI")*(XXX_III!E43&lt;&gt;0),XXX_III!B43&amp;", ","")&amp;IF((XXX_III!D44="DI")*(XXX_III!E44&lt;&gt;0),XXX_III!B44&amp;", ","")&amp;IF((XXX_III!D45="DI")*(XXX_III!E45&lt;&gt;0),XXX_III!B45&amp;", ","")&amp;IF((XXX_III!D46="DI")*(XXX_III!E46&lt;&gt;0),XXX_III!B46&amp;", ","")&amp;IF((XXX_III!D47="DI")*(XXX_III!E47&lt;&gt;0),XXX_III!B47&amp;", ","")&amp;IF((XXX_III!D50="DI")*(XXX_III!E50&lt;&gt;0),XXX_III!B50&amp;", ","")</f>
        <v xml:space="preserve">D35ROBL501, D35ROBL502, D35ROBL503, D35ROBL504, D35ROBL505, D35ROBL506, D35ROBL507, D35ROBL508, D35ROBL601, D35ROBL602, D35ROBL603, D35ROBL604, D35ROBL605, D35ROBL606, D35ROBL607, D35ROBL608, D35ROBL609, D35ROBL610, D35ROBL611, </v>
      </c>
      <c r="C84" s="356">
        <f>IF(XXX_III!F7&lt;&gt;0,XXX_III!F7*(SUMIFS(XXX_III!F12:F50,XXX_III!D12:D50,"=DI",XXX_III!E12:E50,"&lt;&gt;0")+SUMIFS(XXX_III!G12:G50,XXX_III!D12:D50,"=DI",XXX_III!E12:E50,"&lt;&gt;0")+SUMIFS(XXX_III!H12:H50,XXX_III!D12:D50,"=DI",XXX_III!E12:E50,"&lt;&gt;0")+SUMIFS(XXX_III!I12:I50,XXX_III!D12:D50,"=DI",XXX_III!E12:E50,"&lt;&gt;0")),14*(SUMIFS(XXX_III!F12:F50,XXX_III!D12:D50,"=DI",XXX_III!E12:E50,"&lt;&gt;0")+SUMIFS(XXX_III!G12:G50,XXX_III!D12:D50,"=DI",XXX_III!E12:E50,"&lt;&gt;0")+SUMIFS(XXX_III!H12:H50,XXX_III!D12:D50,"=DI",XXX_III!E12:E50,"&lt;&gt;0")+SUMIFS(XXX_III!I12:I50,XXX_III!D12:D50,"=DI",XXX_III!E12:E50,"&lt;&gt;0")))+IF(XXX_III!L7&lt;&gt;0,XXX_III!L7*(SUMIFS(XXX_III!L12:L50,XXX_III!D12:D50,"=DI",XXX_III!E12:E50,"&lt;&gt;0")+SUMIFS(XXX_III!M12:M50,XXX_III!D12:D50,"=DI",XXX_III!E12:E50,"&lt;&gt;0")+SUMIFS(XXX_III!N12:N50,XXX_III!D12:D50,"=DI",XXX_III!E12:E50,"&lt;&gt;0")+SUMIFS(XXX_III!O12:O50,XXX_III!D12:D50,"=DI",XXX_III!E12:E50,"&lt;&gt;0")),14*(SUMIFS(XXX_III!L12:L50,XXX_III!D12:D50,"=DI",XXX_III!E12:E50,"&lt;&gt;0")+SUMIFS(XXX_III!M12:M50,XXX_III!D12:D50,"=DI",XXX_III!E12:E50,"&lt;&gt;0")+SUMIFS(XXX_III!N12:N50,XXX_III!D12:D50,"=DI",XXX_III!E12:E50,"&lt;&gt;0")+SUMIFS(XXX_III!O12:O50,XXX_III!D12:D50,"=DI",XXX_III!E12:E50,"&lt;&gt;0")))</f>
        <v>874.02</v>
      </c>
      <c r="D84" s="209"/>
      <c r="E84" s="210"/>
      <c r="F84" s="211"/>
      <c r="G84" s="175"/>
      <c r="H84" s="176"/>
      <c r="I84" s="183"/>
    </row>
    <row r="85" spans="1:9" x14ac:dyDescent="0.25">
      <c r="A85" s="178" t="s">
        <v>49</v>
      </c>
      <c r="B85" s="342" t="str">
        <f>IF((XXX_III!D12="DO")*(XXX_III!E12&lt;&gt;0),XXX_III!B12&amp;", ","")&amp;IF((XXX_III!D13="DO")*(XXX_III!E13&lt;&gt;0),XXX_III!B13&amp;", ","")&amp;IF((XXX_III!D14="DO")*(XXX_III!E14&lt;&gt;0),XXX_III!B14&amp;", ","")&amp;IF((XXX_III!D15="DO")*(XXX_III!E15&lt;&gt;0),XXX_III!B15&amp;", ","")&amp;IF((XXX_III!D16="DO")*(XXX_III!E16&lt;&gt;0),XXX_III!B16&amp;", ","")&amp;IF((XXX_III!D17="DO")*(XXX_III!E17&lt;&gt;0),XXX_III!B17&amp;", ","")&amp;IF((XXX_III!D18="DO")*(XXX_III!E18&lt;&gt;0),XXX_III!B18&amp;", ","")&amp;IF((XXX_III!D19="DO")*(XXX_III!E19&lt;&gt;0),XXX_III!B19&amp;", ","")&amp;IF((XXX_III!D20="DO")*(XXX_III!E20&lt;&gt;0),XXX_III!B20&amp;", ","")&amp;IF((XXX_III!D21="DO")*(XXX_III!E21&lt;&gt;0),XXX_III!B21&amp;", ","")&amp;IF((XXX_III!D22="DO")*(XXX_III!E22&lt;&gt;0),XXX_III!B22&amp;", ","")&amp;IF((XXX_III!D23="DO")*(XXX_III!E23&lt;&gt;0),XXX_III!B23&amp;", ","")&amp;IF((XXX_III!D24="DO")*(XXX_III!E24&lt;&gt;0),XXX_III!B24&amp;", ","")&amp;IF((XXX_III!D25="DO")*(XXX_III!E25&lt;&gt;0),XXX_III!B25&amp;", ","")&amp;IF((XXX_III!D26="DO")*(XXX_III!E26&lt;&gt;0),XXX_III!B26&amp;", ","")&amp;IF((XXX_III!D27="DO")*(XXX_III!E27&lt;&gt;0),XXX_III!B27&amp;", ","")&amp;IF((XXX_III!D28="DO")*(XXX_III!E28&lt;&gt;0),XXX_III!B28&amp;", ","")&amp;IF((XXX_III!D29="DO")*(XXX_III!E29&lt;&gt;0),XXX_III!B29&amp;", ","")&amp;IF((XXX_III!D30="DO")*(XXX_III!E30&lt;&gt;0),XXX_III!B30&amp;", ","")&amp;IF((XXX_III!D31="DO")*(XXX_III!E31&lt;&gt;0),XXX_III!B31&amp;", ","")&amp;IF((XXX_III!D32="DO")*(XXX_III!E32&lt;&gt;0),XXX_III!B32&amp;", ","")&amp;IF((XXX_III!D33="DO")*(XXX_III!E33&lt;&gt;0),XXX_III!B33&amp;", ","")&amp;IF((XXX_III!D34="DO")*(XXX_III!E34&lt;&gt;0),XXX_III!B34&amp;", ","")&amp;IF((XXX_III!D35="DO")*(XXX_III!E35&lt;&gt;0),XXX_III!B35&amp;", ","")&amp;IF((XXX_III!D36="DO")*(XXX_III!E36&lt;&gt;0),XXX_III!B36&amp;", ","")&amp;IF((XXX_III!D37="DO")*(XXX_III!E37&lt;&gt;0),XXX_III!B37&amp;", ","")&amp;IF((XXX_III!D38="DO")*(XXX_III!E38&lt;&gt;0),XXX_III!B38&amp;", ","")&amp;IF((XXX_III!D39="DO")*(XXX_III!E39&lt;&gt;0),XXX_III!B39&amp;", ","")&amp;IF((XXX_III!D40="DO")*(XXX_III!E40&lt;&gt;0),XXX_III!B40&amp;", ","")&amp;IF((XXX_III!D41="DO")*(XXX_III!E41&lt;&gt;0),XXX_III!B41&amp;", ","")&amp;IF((XXX_III!D42="DO")*(XXX_III!E42&lt;&gt;0),XXX_III!B42&amp;", ","")&amp;IF((XXX_III!D43="DO")*(XXX_III!E43&lt;&gt;0),XXX_III!B43&amp;", ","")&amp;IF((XXX_III!D44="DO")*(XXX_III!E44&lt;&gt;0),XXX_III!B44&amp;", ","")&amp;IF((XXX_III!D45="DO")*(XXX_III!E45&lt;&gt;0),XXX_III!B45&amp;", ","")&amp;IF((XXX_III!D46="DO")*(XXX_III!E46&lt;&gt;0),XXX_III!B46&amp;", ","")&amp;IF((XXX_III!D47="DO")*(XXX_III!E47&lt;&gt;0),XXX_III!B47&amp;", ","")&amp;IF((XXX_III!D50="DO")*(XXX_III!E50&lt;&gt;0),XXX_III!B50&amp;", ","")</f>
        <v/>
      </c>
      <c r="C85" s="353">
        <f>IF(XXX_III!F7&lt;&gt;0,XXX_III!F7*(SUMIFS(XXX_III!F12:F50,XXX_III!D12:D50,"=DO",XXX_III!E12:E50,"&lt;&gt;0")+SUMIFS(XXX_III!G12:G50,XXX_III!D12:D50,"=DO",XXX_III!E12:E50,"&lt;&gt;0")+SUMIFS(XXX_III!H12:H50,XXX_III!D12:D50,"=DO",XXX_III!E12:E50,"&lt;&gt;0")+SUMIFS(XXX_III!I12:I50,XXX_III!D12:D50,"=DO",XXX_III!E12:E50,"&lt;&gt;0")),14*(SUMIFS(XXX_III!F12:F50,XXX_III!D12:D50,"=DO",XXX_III!E12:E50,"&lt;&gt;0")+SUMIFS(XXX_III!G12:G50,XXX_III!D12:D50,"=DO",XXX_III!E12:E50,"&lt;&gt;0")+SUMIFS(XXX_III!H12:H50,XXX_III!D12:D50,"=DO",XXX_III!E12:E50,"&lt;&gt;0")+SUMIFS(XXX_III!I12:I50,XXX_III!D12:D50,"=DO",XXX_III!E12:E50,"&lt;&gt;0")))+IF(XXX_III!L7&lt;&gt;0,XXX_III!L7*(SUMIFS(XXX_III!L12:L50,XXX_III!D12:D50,"=DO",XXX_III!E12:E50,"&lt;&gt;0")+SUMIFS(XXX_III!M12:M50,XXX_III!D12:D50,"=DO",XXX_III!E12:E50,"&lt;&gt;0")+SUMIFS(XXX_III!N12:N50,XXX_III!D12:D50,"=DO",XXX_III!E12:E50,"&lt;&gt;0")+SUMIFS(XXX_III!O12:O50,XXX_III!D12:D50,"=DO",XXX_III!E12:E50,"&lt;&gt;0")),14*(SUMIFS(XXX_III!L12:L50,XXX_III!D12:D50,"=DO",XXX_III!E12:E50,"&lt;&gt;0")+SUMIFS(XXX_III!M12:M50,XXX_III!D12:D50,"=DO",XXX_III!E12:E50,"&lt;&gt;0")+SUMIFS(XXX_III!N12:N50,XXX_III!D12:D50,"=DO",XXX_III!E12:E50,"&lt;&gt;0")+SUMIFS(XXX_III!O12:O50,XXX_III!D12:D50,"=DO",XXX_III!E12:E50,"&lt;&gt;0")))</f>
        <v>0</v>
      </c>
      <c r="D85" s="197"/>
      <c r="E85" s="214"/>
      <c r="F85" s="215"/>
      <c r="G85" s="180"/>
      <c r="H85" s="181"/>
    </row>
    <row r="86" spans="1:9" ht="15.75" thickBot="1" x14ac:dyDescent="0.3">
      <c r="A86" s="186" t="s">
        <v>50</v>
      </c>
      <c r="B86" s="343" t="str">
        <f>IF((XXX_III!D12="DFac")*(XXX_III!E12&lt;&gt;0),XXX_III!B12&amp;", ","")&amp;IF((XXX_III!D13="DFac")*(XXX_III!E13&lt;&gt;0),XXX_III!B13&amp;", ","")&amp;IF((XXX_III!D14="DFac")*(XXX_III!E14&lt;&gt;0),XXX_III!B14&amp;", ","")&amp;IF((XXX_III!D15="DFac")*(XXX_III!E15&lt;&gt;0),XXX_III!B15&amp;", ","")&amp;IF((XXX_III!D16="DFac")*(XXX_III!E16&lt;&gt;0),XXX_III!B16&amp;", ","")&amp;IF((XXX_III!D17="DFac")*(XXX_III!E17&lt;&gt;0),XXX_III!B17&amp;", ","")&amp;IF((XXX_III!D18="DFac")*(XXX_III!E18&lt;&gt;0),XXX_III!B18&amp;", ","")&amp;IF((XXX_III!D19="DFac")*(XXX_III!E19&lt;&gt;0),XXX_III!B19&amp;", ","")&amp;IF((XXX_III!D20="DFac")*(XXX_III!E20&lt;&gt;0),XXX_III!B20&amp;", ","")&amp;IF((XXX_III!D21="DFac")*(XXX_III!E21&lt;&gt;0),XXX_III!B21&amp;", ","")&amp;IF((XXX_III!D22="DFac")*(XXX_III!E22&lt;&gt;0),XXX_III!B22&amp;", ","")&amp;IF((XXX_III!D23="DFac")*(XXX_III!E23&lt;&gt;0),XXX_III!B23&amp;", ","")&amp;IF((XXX_III!D24="DFac")*(XXX_III!E24&lt;&gt;0),XXX_III!B24&amp;", ","")&amp;IF((XXX_III!D25="DFac")*(XXX_III!E25&lt;&gt;0),XXX_III!B25&amp;", ","")&amp;IF((XXX_III!D26="DFac")*(XXX_III!E26&lt;&gt;0),XXX_III!B26&amp;", ","")&amp;IF((XXX_III!D27="DFac")*(XXX_III!E27&lt;&gt;0),XXX_III!B27&amp;", ","")&amp;IF((XXX_III!D28="DFac")*(XXX_III!E28&lt;&gt;0),XXX_III!B28&amp;", ","")&amp;IF((XXX_III!D29="DFac")*(XXX_III!E29&lt;&gt;0),XXX_III!B29&amp;", ","")&amp;IF((XXX_III!D30="DFac")*(XXX_III!E30&lt;&gt;0),XXX_III!B30&amp;", ","")&amp;IF((XXX_III!D31="DFac")*(XXX_III!E31&lt;&gt;0),XXX_III!B31&amp;", ","")&amp;IF((XXX_III!D32="DFac")*(XXX_III!E32&lt;&gt;0),XXX_III!B32&amp;", ","")&amp;IF((XXX_III!D33="DFac")*(XXX_III!E33&lt;&gt;0),XXX_III!B33&amp;", ","")&amp;IF((XXX_III!D34="DFac")*(XXX_III!E34&lt;&gt;0),XXX_III!B34&amp;", ","")&amp;IF((XXX_III!D35="DFac")*(XXX_III!E35&lt;&gt;0),XXX_III!B35&amp;", ","")&amp;IF((XXX_III!D36="DFac")*(XXX_III!E36&lt;&gt;0),XXX_III!B36&amp;", ","")&amp;IF((XXX_III!D37="DFac")*(XXX_III!E37&lt;&gt;0),XXX_III!B37&amp;", ","")&amp;IF((XXX_III!D38="DFac")*(XXX_III!E38&lt;&gt;0),XXX_III!B38&amp;", ","")&amp;IF((XXX_III!D39="DFac")*(XXX_III!E39&lt;&gt;0),XXX_III!B39&amp;", ","")&amp;IF((XXX_III!D40="DFac")*(XXX_III!E40&lt;&gt;0),XXX_III!B40&amp;", ","")&amp;IF((XXX_III!D41="DFac")*(XXX_III!E41&lt;&gt;0),XXX_III!B41&amp;", ","")&amp;IF((XXX_III!D42="DFac")*(XXX_III!E42&lt;&gt;0),XXX_III!B42&amp;", ","")&amp;IF((XXX_III!D43="DFac")*(XXX_III!E43&lt;&gt;0),XXX_III!B43&amp;", ","")&amp;IF((XXX_III!D44="DFac")*(XXX_III!E44&lt;&gt;0),XXX_III!B44&amp;", ","")&amp;IF((XXX_III!D45="DFac")*(XXX_III!E45&lt;&gt;0),XXX_III!B45&amp;", ","")&amp;IF((XXX_III!D46="DFac")*(XXX_III!E46&lt;&gt;0),XXX_III!B46&amp;", ","")&amp;IF((XXX_III!D47="DFac")*(XXX_III!E47&lt;&gt;0),XXX_III!B47&amp;", ","")&amp;IF((XXX_III!D50="DFac")*(XXX_III!E50&lt;&gt;0),XXX_III!B50&amp;", ","")</f>
        <v/>
      </c>
      <c r="C86" s="357">
        <f>IF(XXX_III!F7&lt;&gt;0,XXX_III!F7*(SUMIFS(XXX_III!F12:F50,XXX_III!D12:D50,"=DFac",XXX_III!E12:E50,"&gt;=0")+SUMIFS(XXX_III!G12:G50,XXX_III!D12:D50,"=DFac",XXX_III!E12:E50,"&gt;=0")+SUMIFS(XXX_III!H12:H50,XXX_III!D12:D50,"=DFac",XXX_III!E12:E50,"&gt;=0")+SUMIFS(XXX_III!I12:I50,XXX_III!D12:D50,"=DFac",XXX_III!E12:E50,"&gt;=0")),14*(SUMIFS(XXX_III!F12:F50,XXX_III!D12:D50,"=DFac",XXX_III!E12:E50,"&gt;=0")+SUMIFS(XXX_III!G12:G50,XXX_III!D12:D50,"=DFac",XXX_III!E12:E50,"&gt;=0")+SUMIFS(XXX_III!H12:H50,XXX_III!D12:D50,"=DFac",XXX_III!E12:E50,"&gt;=0")+SUMIFS(XXX_III!I12:I50,XXX_III!D12:D50,"=DFac",XXX_III!E12:E50,"&gt;=0")))+IF(XXX_III!L7&lt;&gt;0,XXX_III!L7*(SUMIFS(XXX_III!L12:L50,XXX_III!D12:D50,"=DFac",XXX_III!E12:E50,"&gt;=0")+SUMIFS(XXX_III!M12:M50,XXX_III!D12:D50,"=DFac",XXX_III!E12:E50,"&gt;=0")+SUMIFS(XXX_III!N12:N50,XXX_III!D12:D50,"=DFac",XXX_III!E12:E50,"&gt;=0")+SUMIFS(XXX_III!O12:O50,XXX_III!D12:D50,"=DFac",XXX_III!E12:E50,"&gt;=0")),14*(SUMIFS(XXX_III!L12:L50,XXX_III!D12:D50,"=DFac",XXX_III!E12:E50,"&gt;=0")+SUMIFS(XXX_III!M12:M50,XXX_III!D12:D50,"=DFac",XXX_III!E12:E50,"&gt;=0")+SUMIFS(XXX_III!N12:N50,XXX_III!D12:D50,"=DFac",XXX_III!E12:E50,"&gt;=0")+SUMIFS(XXX_III!O12:O50,XXX_III!D12:D50,"=DFac",XXX_III!E12:E50,"&gt;=0")))</f>
        <v>168</v>
      </c>
      <c r="D86" s="220"/>
      <c r="E86" s="217"/>
      <c r="F86" s="218"/>
      <c r="G86" s="221"/>
      <c r="H86" s="222"/>
    </row>
    <row r="88" spans="1:9" x14ac:dyDescent="0.25">
      <c r="C88" s="347">
        <f>SUM(C84:C85)</f>
        <v>874.02</v>
      </c>
    </row>
    <row r="89" spans="1:9" ht="18.75" x14ac:dyDescent="0.3">
      <c r="B89" s="358" t="s">
        <v>31</v>
      </c>
    </row>
    <row r="90" spans="1:9" ht="30" x14ac:dyDescent="0.25">
      <c r="C90" s="354"/>
      <c r="D90" s="163"/>
      <c r="E90" s="163"/>
      <c r="F90" s="206" t="s">
        <v>27</v>
      </c>
      <c r="G90" s="207"/>
      <c r="H90" s="208"/>
    </row>
    <row r="91" spans="1:9" x14ac:dyDescent="0.25">
      <c r="A91" s="166" t="s">
        <v>19</v>
      </c>
      <c r="D91" s="167"/>
      <c r="E91" s="167"/>
      <c r="F91" s="167"/>
      <c r="G91" s="163"/>
      <c r="H91" s="163"/>
    </row>
    <row r="92" spans="1:9" ht="15.75" thickBot="1" x14ac:dyDescent="0.3">
      <c r="D92" s="167"/>
      <c r="E92" s="167"/>
      <c r="F92" s="167"/>
      <c r="G92" s="167"/>
      <c r="H92" s="167"/>
    </row>
    <row r="93" spans="1:9" ht="15.75" thickBot="1" x14ac:dyDescent="0.3">
      <c r="A93" s="170" t="s">
        <v>18</v>
      </c>
      <c r="B93" s="340" t="s">
        <v>17</v>
      </c>
      <c r="C93" s="349" t="s">
        <v>24</v>
      </c>
      <c r="D93" s="170" t="s">
        <v>16</v>
      </c>
      <c r="E93" s="549" t="s">
        <v>26</v>
      </c>
      <c r="F93" s="550"/>
      <c r="G93" s="551" t="s">
        <v>25</v>
      </c>
      <c r="H93" s="552"/>
    </row>
    <row r="94" spans="1:9" x14ac:dyDescent="0.25">
      <c r="A94" s="173" t="s">
        <v>44</v>
      </c>
      <c r="B94" s="341" t="str">
        <f>IF((XXX_IV!C12="DF")*(XXX_IV!E12&lt;&gt;0),XXX_IV!B12&amp;", ","")&amp;IF((XXX_IV!C13="DF")*(XXX_IV!E13&lt;&gt;0),XXX_IV!B13&amp;", ","")&amp;IF((XXX_IV!C14="DF")*(XXX_IV!E14&lt;&gt;0),XXX_IV!B14&amp;", ","")&amp;IF((XXX_IV!C15="DF")*(XXX_IV!E15&lt;&gt;0),XXX_IV!B15&amp;", ","")&amp;IF((XXX_IV!C16="DF")*(XXX_IV!E16&lt;&gt;0),XXX_IV!B16&amp;", ","")&amp;IF((XXX_IV!C17="DF")*(XXX_IV!E17&lt;&gt;0),XXX_IV!B17&amp;", ","")&amp;IF((XXX_IV!C18="DF")*(XXX_IV!E18&lt;&gt;0),XXX_IV!B18&amp;", ","")&amp;IF((XXX_IV!C19="DF")*(XXX_IV!E19&lt;&gt;0),XXX_IV!B19&amp;", ","")&amp;IF((XXX_IV!C20="DF")*(XXX_IV!E20&lt;&gt;0),XXX_IV!B20&amp;", ","")&amp;IF((XXX_IV!C21="DF")*(XXX_IV!E21&lt;&gt;0),XXX_IV!B21&amp;", ","")&amp;IF((XXX_IV!C22="DF")*(XXX_IV!E22&lt;&gt;0),XXX_IV!B22&amp;", ","")&amp;IF((XXX_IV!C23="DF")*(XXX_IV!E23&lt;&gt;0),XXX_IV!B23&amp;", ","")&amp;IF((XXX_IV!C24="DF")*(XXX_IV!E24&lt;&gt;0),XXX_IV!B24&amp;", ","")&amp;IF((XXX_IV!C25="DF")*(XXX_IV!E25&lt;&gt;0),XXX_IV!B25&amp;", ","")&amp;IF((XXX_IV!C26="DF")*(XXX_IV!E26&lt;&gt;0),XXX_IV!B26&amp;", ","")&amp;IF((XXX_IV!C27="DF")*(XXX_IV!E27&lt;&gt;0),XXX_IV!B27&amp;", ","")&amp;IF((XXX_IV!C28="DF")*(XXX_IV!E28&lt;&gt;0),XXX_IV!B28&amp;", ","")&amp;IF((XXX_IV!C29="DF")*(XXX_IV!E29&lt;&gt;0),XXX_IV!B29&amp;", ","")&amp;IF((XXX_IV!C30="DF")*(XXX_IV!E30&lt;&gt;0),XXX_IV!B30&amp;", ","")&amp;IF((XXX_IV!C31="DF")*(XXX_IV!E31&lt;&gt;0),XXX_IV!B31&amp;", ","")&amp;IF((XXX_IV!C32="DF")*(XXX_IV!E32&lt;&gt;0),XXX_IV!B32&amp;", ","")&amp;IF((XXX_IV!C33="DF")*(XXX_IV!E33&lt;&gt;0),XXX_IV!B33&amp;", ","")&amp;IF((XXX_IV!C34="DF")*(XXX_IV!E34&lt;&gt;0),XXX_IV!B34&amp;", ","")&amp;IF((XXX_IV!C36="DF")*(XXX_IV!E36&lt;&gt;0),XXX_IV!B36&amp;", ","")&amp;IF((XXX_IV!C37="DF")*(XXX_IV!E37&lt;&gt;0),XXX_IV!B37&amp;", ","")&amp;IF((XXX_IV!C38="DF")*(XXX_IV!E38&lt;&gt;0),XXX_IV!B38&amp;", ","")&amp;IF((XXX_IV!C39="DF")*(XXX_IV!E39&lt;&gt;0),XXX_IV!B39&amp;", ","")&amp;IF((XXX_IV!C40="DF")*(XXX_IV!E40&lt;&gt;0),XXX_IV!B40&amp;", ","")&amp;IF((XXX_IV!C41="DF")*(XXX_IV!E41&lt;&gt;0),XXX_IV!B41&amp;", ","")&amp;IF((XXX_IV!C42="DF")*(XXX_IV!E42&lt;&gt;0),XXX_IV!B42&amp;", ","")&amp;IF((XXX_IV!C43="DF")*(XXX_IV!E43&lt;&gt;0),XXX_IV!B43&amp;", ","")&amp;IF((XXX_IV!C44="DF")*(XXX_IV!E44&lt;&gt;0),XXX_IV!B48&amp;", ","")&amp;IF((XXX_IV!C45="DF")*(XXX_IV!E45&lt;&gt;0),XXX_IV!B45&amp;", ","")&amp;IF((XXX_IV!C46="DF")*(XXX_IV!E46&lt;&gt;0),XXX_IV!B46&amp;", ","")&amp;IF((XXX_IV!C47="DF")*(XXX_IV!E47&lt;&gt;0),XXX_IV!B47&amp;", ","")&amp;IF((XXX_IV!C48="DF")*(XXX_IV!E48&lt;&gt;0),XXX_IV!B48&amp;", ","")&amp;IF((XXX_IV!C49="DF")*(XXX_IV!E49&lt;&gt;0),XXX_IV!B49&amp;", ","")</f>
        <v/>
      </c>
      <c r="C94" s="350">
        <f>IF(XXX_IV!F7&lt;&gt;0,XXX_IV!F7*(SUMIFS(XXX_IV!F12:F49,XXX_IV!C12:C49,"=DF",XXX_IV!E12:E49,"&lt;&gt;0",XXX_IV!D12:D49,"&lt;&gt;DFac")+SUMIFS(XXX_IV!G12:G49,XXX_IV!C12:C49,"=DF",XXX_IV!E12:E49,"&lt;&gt;0",XXX_IV!D12:D49,"&lt;&gt;DFac")+SUMIFS(XXX_IV!H12:H49,XXX_IV!C12:C49,"=DF",XXX_IV!E12:E49,"&lt;&gt;0",XXX_IV!D12:D49,"&lt;&gt;DFac")+SUMIFS(XXX_IV!I12:I49,XXX_IV!C12:C49,"=DF",XXX_IV!E12:E49,"&lt;&gt;0",XXX_IV!D12:D49,"&lt;&gt;DFac")),14*(SUMIFS(XXX_IV!F12:F49,XXX_IV!C12:C49,"=DF",XXX_IV!E12:E49,"&lt;&gt;0",XXX_IV!D12:D49,"&lt;&gt;DFac")+SUMIFS(XXX_IV!G12:G49,XXX_IV!C12:C49,"=DF",XXX_IV!E12:E49,"&lt;&gt;0",XXX_IV!D12:D49,"&lt;&gt;DFac")+SUMIFS(XXX_IV!H12:H49,XXX_IV!C12:C49,"=DF",XXX_IV!E12:E49,"&lt;&gt;0",XXX_IV!D12:D49,"&lt;&gt;DFac")+SUMIFS(XXX_IV!I12:I49,XXX_IV!C12:C49,"=DF",XXX_IV!E12:E49,"&lt;&gt;0",XXX_IV!D12:D49,"&lt;&gt;DFac")))+IF(XXX_IV!L7&lt;&gt;0,XXX_IV!L7*(SUMIFS(XXX_IV!L12:L49,XXX_IV!C12:C49,"=DF",XXX_IV!E12:E49,"&lt;&gt;0",XXX_IV!D12:D49,"&lt;&gt;DFac")+SUMIFS(XXX_IV!M12:M49,XXX_IV!C12:C49,"=DF",XXX_IV!E12:E49,"&lt;&gt;0",XXX_IV!D12:D49,"&lt;&gt;DFac")+SUMIFS(XXX_IV!N12:N49,XXX_IV!C12:C49,"=DF",XXX_IV!E12:E49,"&lt;&gt;0",XXX_IV!D12:D49,"&lt;&gt;DFac")+SUMIFS(XXX_IV!O12:O49,XXX_IV!C12:C49,"=DF",XXX_IV!E12:E49,"&lt;&gt;0",XXX_IV!D12:D49,"&lt;&gt;DFac")),14*(SUMIFS(XXX_IV!L12:L49,XXX_IV!C12:C49,"=DF",XXX_IV!E12:E49,"&lt;&gt;0",XXX_IV!D12:D49,"&lt;&gt;DFac")+SUMIFS(XXX_IV!M12:M49,XXX_IV!C12:C49,"=DF",XXX_IV!E12:E49,"&lt;&gt;0",XXX_IV!D12:D49,"&lt;&gt;DFac")+SUMIFS(XXX_IV!N12:N49,XXX_IV!C12:C49,"=DF",XXX_IV!E12:E49,"&lt;&gt;0",XXX_IV!D12:D49,"&lt;&gt;DFac")+SUMIFS(XXX_IV!O12:O49,XXX_IV!C12:C49,"=DF",XXX_IV!E12:E49,"&lt;&gt;0",XXX_IV!D12:D49,"&lt;&gt;DFac")))</f>
        <v>0</v>
      </c>
      <c r="D94" s="209"/>
      <c r="E94" s="210"/>
      <c r="F94" s="211"/>
      <c r="G94" s="175"/>
      <c r="H94" s="176"/>
      <c r="I94" s="212"/>
    </row>
    <row r="95" spans="1:9" x14ac:dyDescent="0.25">
      <c r="A95" s="178" t="s">
        <v>45</v>
      </c>
      <c r="B95" s="342" t="str">
        <f>IF((XXX_IV!C12="DD")*(XXX_IV!E12&lt;&gt;0),XXX_IV!B12&amp;", ","")&amp;IF((XXX_IV!C13="DD")*(XXX_IV!E13&lt;&gt;0),XXX_IV!B13&amp;", ","")&amp;IF((XXX_IV!C14="DD")*(XXX_IV!E14&lt;&gt;0),XXX_IV!B14&amp;", ","")&amp;IF((XXX_IV!C15="DD")*(XXX_IV!E15&lt;&gt;0),XXX_IV!B15&amp;", ","")&amp;IF((XXX_IV!C16="DD")*(XXX_IV!E16&lt;&gt;0),XXX_IV!B16&amp;", ","")&amp;IF((XXX_IV!C17="DD")*(XXX_IV!E17&lt;&gt;0),XXX_IV!B17&amp;", ","")&amp;IF((XXX_IV!C18="DD")*(XXX_IV!E18&lt;&gt;0),XXX_IV!B18&amp;", ","")&amp;IF((XXX_IV!C19="DD")*(XXX_IV!E19&lt;&gt;0),XXX_IV!B19&amp;", ","")&amp;IF((XXX_IV!C20="DD")*(XXX_IV!E20&lt;&gt;0),XXX_IV!B20&amp;", ","")&amp;IF((XXX_IV!C21="DD")*(XXX_IV!E21&lt;&gt;0),XXX_IV!B21&amp;", ","")&amp;IF((XXX_IV!C22="DD")*(XXX_IV!E22&lt;&gt;0),XXX_IV!B22&amp;", ","")&amp;IF((XXX_IV!C23="DD")*(XXX_IV!E23&lt;&gt;0),XXX_IV!B23&amp;", ","")&amp;IF((XXX_IV!C24="DD")*(XXX_IV!E24&lt;&gt;0),XXX_IV!B24&amp;", ","")&amp;IF((XXX_IV!C25="DD")*(XXX_IV!E25&lt;&gt;0),XXX_IV!B25&amp;", ","")&amp;IF((XXX_IV!C26="DD")*(XXX_IV!E26&lt;&gt;0),XXX_IV!B26&amp;", ","")&amp;IF((XXX_IV!C27="DD")*(XXX_IV!E27&lt;&gt;0),XXX_IV!B27&amp;", ","")&amp;IF((XXX_IV!C28="DD")*(XXX_IV!E28&lt;&gt;0),XXX_IV!B28&amp;", ","")&amp;IF((XXX_IV!C29="DD")*(XXX_IV!E29&lt;&gt;0),XXX_IV!B29&amp;", ","")&amp;IF((XXX_IV!C30="DD")*(XXX_IV!E30&lt;&gt;0),XXX_IV!B30&amp;", ","")&amp;IF((XXX_IV!C31="DD")*(XXX_IV!E31&lt;&gt;0),XXX_IV!B31&amp;", ","")&amp;IF((XXX_IV!C32="DD")*(XXX_IV!E32&lt;&gt;0),XXX_IV!B32&amp;", ","")&amp;IF((XXX_IV!C33="DD")*(XXX_IV!E33&lt;&gt;0),XXX_IV!B33&amp;", ","")&amp;IF((XXX_IV!C34="DD")*(XXX_IV!E34&lt;&gt;0),XXX_IV!B34&amp;", ","")&amp;IF((XXX_IV!C36="DD")*(XXX_IV!E36&lt;&gt;0),XXX_IV!B36&amp;", ","")&amp;IF((XXX_IV!C37="DD")*(XXX_IV!E37&lt;&gt;0),XXX_IV!B37&amp;", ","")&amp;IF((XXX_IV!C38="DD")*(XXX_IV!E38&lt;&gt;0),XXX_IV!B38&amp;", ","")&amp;IF((XXX_IV!C39="DD")*(XXX_IV!E39&lt;&gt;0),XXX_IV!B39&amp;", ","")&amp;IF((XXX_IV!C40="DD")*(XXX_IV!E40&lt;&gt;0),XXX_IV!B40&amp;", ","")&amp;IF((XXX_IV!C41="DD")*(XXX_IV!E41&lt;&gt;0),XXX_IV!B41&amp;", ","")&amp;IF((XXX_IV!C42="DD")*(XXX_IV!E42&lt;&gt;0),XXX_IV!B42&amp;", ","")&amp;IF((XXX_IV!C43="DD")*(XXX_IV!E43&lt;&gt;0),XXX_IV!B43&amp;", ","")&amp;IF((XXX_IV!C44="DD")*(XXX_IV!E44&lt;&gt;0),XXX_IV!B48&amp;", ","")&amp;IF((XXX_IV!C45="DD")*(XXX_IV!E45&lt;&gt;0),XXX_IV!B45&amp;", ","")&amp;IF((XXX_IV!C46="DD")*(XXX_IV!E46&lt;&gt;0),XXX_IV!B46&amp;", ","")&amp;IF((XXX_IV!C47="DD")*(XXX_IV!E47&lt;&gt;0),XXX_IV!B47&amp;", ","")&amp;IF((XXX_IV!C48="DD")*(XXX_IV!E48&lt;&gt;0),XXX_IV!B48&amp;", ","")&amp;IF((XXX_IV!C49="DD")*(XXX_IV!E49&lt;&gt;0),XXX_IV!B49&amp;", ","")</f>
        <v xml:space="preserve">D35ROBL702, D35ROBL801, </v>
      </c>
      <c r="C95" s="351">
        <f>IF(XXX_IV!F7&lt;&gt;0,XXX_IV!F7*(SUMIFS(XXX_IV!F12:F49,XXX_IV!C12:C49,"=DD",XXX_IV!E12:E49,"&lt;&gt;0",XXX_IV!D12:D49,"&lt;&gt;DFac")+SUMIFS(XXX_IV!G12:G49,XXX_IV!C12:C49,"=DD",XXX_IV!E12:E49,"&lt;&gt;0",XXX_IV!D12:D49,"&lt;&gt;DFac")+SUMIFS(XXX_IV!H12:H49,XXX_IV!C12:C49,"=DD",XXX_IV!E12:E49,"&lt;&gt;0",XXX_IV!D12:D49,"&lt;&gt;DFac")+SUMIFS(XXX_IV!I12:I49,XXX_IV!C12:C49,"=DD",XXX_IV!E12:E49,"&lt;&gt;0",XXX_IV!D12:D49,"&lt;&gt;DFac")),14*(SUMIFS(XXX_IV!F12:F49,XXX_IV!C12:C49,"=DD",XXX_IV!E12:E49,"&lt;&gt;0",XXX_IV!D12:D49,"&lt;&gt;DFac")+SUMIFS(XXX_IV!G12:G49,XXX_IV!C12:C49,"=DD",XXX_IV!E12:E49,"&lt;&gt;0",XXX_IV!D12:D49,"&lt;&gt;DFac")+SUMIFS(XXX_IV!H12:H49,XXX_IV!C12:C49,"=DD",XXX_IV!E12:E49,"&lt;&gt;0",XXX_IV!D12:D49,"&lt;&gt;DFac")+SUMIFS(XXX_IV!I12:I49,XXX_IV!C12:C49,"=DD",XXX_IV!E12:E49,"&lt;&gt;0",XXX_IV!D12:D49,"&lt;&gt;DFac")))+IF(XXX_IV!L7&lt;&gt;0,XXX_IV!L7*(SUMIFS(XXX_IV!L12:L49,XXX_IV!C12:C49,"=DD",XXX_IV!E12:E49,"&lt;&gt;0",XXX_IV!D12:D49,"&lt;&gt;DFac")+SUMIFS(XXX_IV!M12:M49,XXX_IV!C12:C49,"=DD",XXX_IV!E12:E49,"&lt;&gt;0",XXX_IV!D12:D49,"&lt;&gt;DFac")+SUMIFS(XXX_IV!N12:N49,XXX_IV!C12:C49,"=DD",XXX_IV!E12:E49,"&lt;&gt;0",XXX_IV!D12:D49,"&lt;&gt;DFac")+SUMIFS(XXX_IV!O12:O49,XXX_IV!C12:C49,"=DD",XXX_IV!E12:E49,"&lt;&gt;0",XXX_IV!D12:D49,"&lt;&gt;DFac")),14*(SUMIFS(XXX_IV!L12:L49,XXX_IV!C12:C49,"=DD",XXX_IV!E12:E49,"&lt;&gt;0",XXX_IV!D12:D49,"&lt;&gt;DFac")+SUMIFS(XXX_IV!M12:M49,XXX_IV!C12:C49,"=DD",XXX_IV!E12:E49,"&lt;&gt;0",XXX_IV!D12:D49,"&lt;&gt;DFac")+SUMIFS(XXX_IV!N12:N49,XXX_IV!C12:C49,"=DD",XXX_IV!E12:E49,"&lt;&gt;0",XXX_IV!D12:D49,"&lt;&gt;DFac")+SUMIFS(XXX_IV!O12:O49,XXX_IV!C12:C49,"=DD",XXX_IV!E12:E49,"&lt;&gt;0",XXX_IV!D12:D49,"&lt;&gt;DFac")))</f>
        <v>86</v>
      </c>
      <c r="D95" s="213"/>
      <c r="E95" s="214"/>
      <c r="F95" s="215"/>
      <c r="G95" s="180"/>
      <c r="H95" s="181"/>
      <c r="I95" s="212"/>
    </row>
    <row r="96" spans="1:9" ht="75" x14ac:dyDescent="0.25">
      <c r="A96" s="178" t="s">
        <v>46</v>
      </c>
      <c r="B96" s="342" t="str">
        <f>IF((XXX_IV!C12="DS")*(XXX_IV!E12&lt;&gt;0),XXX_IV!B12&amp;", ","")&amp;IF((XXX_IV!C13="DS")*(XXX_IV!E13&lt;&gt;0),XXX_IV!B13&amp;", ","")&amp;IF((XXX_IV!C14="DS")*(XXX_IV!E14&lt;&gt;0),XXX_IV!B14&amp;", ","")&amp;IF((XXX_IV!C15="DS")*(XXX_IV!E15&lt;&gt;0),XXX_IV!B15&amp;", ","")&amp;IF((XXX_IV!C16="DS")*(XXX_IV!E16&lt;&gt;0),XXX_IV!B16&amp;", ","")&amp;IF((XXX_IV!C17="DS")*(XXX_IV!E17&lt;&gt;0),XXX_IV!B17&amp;", ","")&amp;IF((XXX_IV!C18="DS")*(XXX_IV!E18&lt;&gt;0),XXX_IV!B18&amp;", ","")&amp;IF((XXX_IV!C19="DS")*(XXX_IV!E19&lt;&gt;0),XXX_IV!B19&amp;", ","")&amp;IF((XXX_IV!C20="DS")*(XXX_IV!E20&lt;&gt;0),XXX_IV!B20&amp;", ","")&amp;IF((XXX_IV!C21="DS")*(XXX_IV!E21&lt;&gt;0),XXX_IV!B21&amp;", ","")&amp;IF((XXX_IV!C22="DS")*(XXX_IV!E22&lt;&gt;0),XXX_IV!B22&amp;", ","")&amp;IF((XXX_IV!C23="DS")*(XXX_IV!E23&lt;&gt;0),XXX_IV!B23&amp;", ","")&amp;IF((XXX_IV!C24="DS")*(XXX_IV!E24&lt;&gt;0),XXX_IV!B24&amp;", ","")&amp;IF((XXX_IV!C25="DS")*(XXX_IV!E25&lt;&gt;0),XXX_IV!B25&amp;", ","")&amp;IF((XXX_IV!C26="DS")*(XXX_IV!E26&lt;&gt;0),XXX_IV!B26&amp;", ","")&amp;IF((XXX_IV!C27="DS")*(XXX_IV!E27&lt;&gt;0),XXX_IV!B27&amp;", ","")&amp;IF((XXX_IV!C28="DS")*(XXX_IV!E28&lt;&gt;0),XXX_IV!B28&amp;", ","")&amp;IF((XXX_IV!C29="DS")*(XXX_IV!E29&lt;&gt;0),XXX_IV!B29&amp;", ","")&amp;IF((XXX_IV!C30="DS")*(XXX_IV!E30&lt;&gt;0),XXX_IV!B30&amp;", ","")&amp;IF((XXX_IV!C31="DS")*(XXX_IV!E31&lt;&gt;0),XXX_IV!B31&amp;", ","")&amp;IF((XXX_IV!C32="DS")*(XXX_IV!E32&lt;&gt;0),XXX_IV!B32&amp;", ","")&amp;IF((XXX_IV!C33="DS")*(XXX_IV!E33&lt;&gt;0),XXX_IV!B33&amp;", ","")&amp;IF((XXX_IV!C34="DS")*(XXX_IV!E34&lt;&gt;0),XXX_IV!B34&amp;", ","")&amp;IF((XXX_IV!C36="DS")*(XXX_IV!E36&lt;&gt;0),XXX_IV!B36&amp;", ","")&amp;IF((XXX_IV!C37="DS")*(XXX_IV!E37&lt;&gt;0),XXX_IV!B37&amp;", ","")&amp;IF((XXX_IV!C38="DS")*(XXX_IV!E38&lt;&gt;0),XXX_IV!B38&amp;", ","")&amp;IF((XXX_IV!C39="DS")*(XXX_IV!E39&lt;&gt;0),XXX_IV!B39&amp;", ","")&amp;IF((XXX_IV!C40="DS")*(XXX_IV!E40&lt;&gt;0),XXX_IV!B40&amp;", ","")&amp;IF((XXX_IV!C41="DS")*(XXX_IV!E41&lt;&gt;0),XXX_IV!B41&amp;", ","")&amp;IF((XXX_IV!C42="DS")*(XXX_IV!E42&lt;&gt;0),XXX_IV!B42&amp;", ","")&amp;IF((XXX_IV!C43="DS")*(XXX_IV!E43&lt;&gt;0),XXX_IV!B43&amp;", ","")&amp;IF((XXX_IV!C44="DS")*(XXX_IV!E44&lt;&gt;0),XXX_IV!B48&amp;", ","")&amp;IF((XXX_IV!C45="DS")*(XXX_IV!E45&lt;&gt;0),XXX_IV!B45&amp;", ","")&amp;IF((XXX_IV!C46="DS")*(XXX_IV!E46&lt;&gt;0),XXX_IV!B46&amp;", ","")&amp;IF((XXX_IV!C47="DS")*(XXX_IV!E47&lt;&gt;0),XXX_IV!B47&amp;", ","")&amp;IF((XXX_IV!C48="DS")*(XXX_IV!E48&lt;&gt;0),XXX_IV!B48&amp;", ","")&amp;IF((XXX_IV!C49="DS")*(XXX_IV!E49&lt;&gt;0),XXX_IV!B49&amp;", ","")</f>
        <v xml:space="preserve">D35ROBL701, D35ROBL703, D35ROBL704a, D35ROBL705a, D35ROBL706a, D35ROBL707a, D35ROBL708a, D35ROBL802, D35ROBL803, D35ROBL804, D35ROBL805a, D35ROBL806a, D35ROBL807a, </v>
      </c>
      <c r="C96" s="351">
        <f>IF(XXX_IV!F7&lt;&gt;0,XXX_IV!F7*(SUMIFS(XXX_IV!F12:F49,XXX_IV!C12:C49,"=DS",XXX_IV!E12:E49,"&lt;&gt;0",XXX_IV!D12:D49,"&lt;&gt;DFac")+SUMIFS(XXX_IV!G12:G49,XXX_IV!C12:C49,"=DS",XXX_IV!E12:E49,"&lt;&gt;0",XXX_IV!D12:D49,"&lt;&gt;DFac")+SUMIFS(XXX_IV!H12:H49,XXX_IV!C12:C49,"=DS",XXX_IV!E12:E49,"&lt;&gt;0",XXX_IV!D12:D49,"&lt;&gt;DFac")+SUMIFS(XXX_IV!I12:I49,XXX_IV!C12:C49,"=DS",XXX_IV!E12:E49,"&lt;&gt;0",XXX_IV!D12:D49,"&lt;&gt;DFac")),14*(SUMIFS(XXX_IV!F12:F49,XXX_IV!C12:C49,"=DS",XXX_IV!E12:E49,"&lt;&gt;0",XXX_IV!D12:D49,"&lt;&gt;DFac")+SUMIFS(XXX_IV!G12:G49,XXX_IV!C12:C49,"=DS",XXX_IV!E12:E49,"&lt;&gt;0",XXX_IV!D12:D49,"&lt;&gt;DFac")+SUMIFS(XXX_IV!H12:H49,XXX_IV!C12:C49,"=DS",XXX_IV!E12:E49,"&lt;&gt;0",XXX_IV!D12:D49,"&lt;&gt;DFac")+SUMIFS(XXX_IV!I12:I49,XXX_IV!C12:C49,"=DS",XXX_IV!E12:E49,"&lt;&gt;0",XXX_IV!D12:D49,"&lt;&gt;DFac")))+IF(XXX_IV!L7&lt;&gt;0,XXX_IV!L7*(SUMIFS(XXX_IV!L12:L49,XXX_IV!C12:C49,"=DS",XXX_IV!E12:E49,"&lt;&gt;0",XXX_IV!D12:D49,"&lt;&gt;DFac")+SUMIFS(XXX_IV!M12:M49,XXX_IV!C12:C49,"=DS",XXX_IV!E12:E49,"&lt;&gt;0",XXX_IV!D12:D49,"&lt;&gt;DFac")+SUMIFS(XXX_IV!N12:N49,XXX_IV!C12:C49,"=DS",XXX_IV!E12:E49,"&lt;&gt;0",XXX_IV!D12:D49,"&lt;&gt;DFac")+SUMIFS(XXX_IV!O12:O49,XXX_IV!C12:C49,"=DS",XXX_IV!E12:E49,"&lt;&gt;0",XXX_IV!D12:D49,"&lt;&gt;DFac")),14*(SUMIFS(XXX_IV!L12:L49,XXX_IV!C12:C49,"=DS",XXX_IV!E12:E49,"&lt;&gt;0",XXX_IV!D12:D49,"&lt;&gt;DFac")+SUMIFS(XXX_IV!M12:M49,XXX_IV!C12:C49,"=DS",XXX_IV!E12:E49,"&lt;&gt;0",XXX_IV!D12:D49,"&lt;&gt;DFac")+SUMIFS(XXX_IV!N12:N49,XXX_IV!C12:C49,"=DS",XXX_IV!E12:E49,"&lt;&gt;0",XXX_IV!D12:D49,"&lt;&gt;DFac")+SUMIFS(XXX_IV!O12:O49,XXX_IV!C12:C49,"=DS",XXX_IV!E12:E49,"&lt;&gt;0",XXX_IV!D12:D49,"&lt;&gt;DFac")))</f>
        <v>612</v>
      </c>
      <c r="D96" s="213"/>
      <c r="E96" s="214"/>
      <c r="F96" s="215"/>
      <c r="G96" s="180"/>
      <c r="H96" s="181"/>
      <c r="I96" s="212"/>
    </row>
    <row r="97" spans="1:9" ht="15.75" thickBot="1" x14ac:dyDescent="0.3">
      <c r="A97" s="186" t="s">
        <v>47</v>
      </c>
      <c r="B97" s="343" t="str">
        <f>IF((XXX_IV!C12="DC")*(XXX_IV!E12&lt;&gt;0),XXX_IV!B12&amp;", ","")&amp;IF((XXX_IV!C13="DC")*(XXX_IV!E13&lt;&gt;0),XXX_IV!B13&amp;", ","")&amp;IF((XXX_IV!C14="DC")*(XXX_IV!E14&lt;&gt;0),XXX_IV!B14&amp;", ","")&amp;IF((XXX_IV!C15="DC")*(XXX_IV!E15&lt;&gt;0),XXX_IV!B15&amp;", ","")&amp;IF((XXX_IV!C16="DC")*(XXX_IV!E16&lt;&gt;0),XXX_IV!B16&amp;", ","")&amp;IF((XXX_IV!C17="DC")*(XXX_IV!E17&lt;&gt;0),XXX_IV!B17&amp;", ","")&amp;IF((XXX_IV!C18="DC")*(XXX_IV!E18&lt;&gt;0),XXX_IV!B18&amp;", ","")&amp;IF((XXX_IV!C19="DC")*(XXX_IV!E19&lt;&gt;0),XXX_IV!B19&amp;", ","")&amp;IF((XXX_IV!C20="DC")*(XXX_IV!E20&lt;&gt;0),XXX_IV!B20&amp;", ","")&amp;IF((XXX_IV!C21="DC")*(XXX_IV!E21&lt;&gt;0),XXX_IV!B21&amp;", ","")&amp;IF((XXX_IV!C22="DC")*(XXX_IV!E22&lt;&gt;0),XXX_IV!B22&amp;", ","")&amp;IF((XXX_IV!C23="DC")*(XXX_IV!E23&lt;&gt;0),XXX_IV!B23&amp;", ","")&amp;IF((XXX_IV!C24="DC")*(XXX_IV!E24&lt;&gt;0),XXX_IV!B24&amp;", ","")&amp;IF((XXX_IV!C25="DC")*(XXX_IV!E25&lt;&gt;0),XXX_IV!B25&amp;", ","")&amp;IF((XXX_IV!C26="DC")*(XXX_IV!E26&lt;&gt;0),XXX_IV!B26&amp;", ","")&amp;IF((XXX_IV!C27="DC")*(XXX_IV!E27&lt;&gt;0),XXX_IV!B27&amp;", ","")&amp;IF((XXX_IV!C28="DC")*(XXX_IV!E28&lt;&gt;0),XXX_IV!B28&amp;", ","")&amp;IF((XXX_IV!C29="DC")*(XXX_IV!E29&lt;&gt;0),XXX_IV!B29&amp;", ","")&amp;IF((XXX_IV!C30="DC")*(XXX_IV!E30&lt;&gt;0),XXX_IV!B30&amp;", ","")&amp;IF((XXX_IV!C31="DC")*(XXX_IV!E31&lt;&gt;0),XXX_IV!B31&amp;", ","")&amp;IF((XXX_IV!C32="DC")*(XXX_IV!E32&lt;&gt;0),XXX_IV!B32&amp;", ","")&amp;IF((XXX_IV!C33="DC")*(XXX_IV!E33&lt;&gt;0),XXX_IV!B33&amp;", ","")&amp;IF((XXX_IV!C34="DC")*(XXX_IV!E34&lt;&gt;0),XXX_IV!B34&amp;", ","")&amp;IF((XXX_IV!C36="DC")*(XXX_IV!E36&lt;&gt;0),XXX_IV!B36&amp;", ","")&amp;IF((XXX_IV!C37="DC")*(XXX_IV!E37&lt;&gt;0),XXX_IV!B37&amp;", ","")&amp;IF((XXX_IV!C38="DC")*(XXX_IV!E38&lt;&gt;0),XXX_IV!B38&amp;", ","")&amp;IF((XXX_IV!C39="DC")*(XXX_IV!E39&lt;&gt;0),XXX_IV!B39&amp;", ","")&amp;IF((XXX_IV!C40="DC")*(XXX_IV!E40&lt;&gt;0),XXX_IV!B40&amp;", ","")&amp;IF((XXX_IV!C41="DC")*(XXX_IV!E41&lt;&gt;0),XXX_IV!B41&amp;", ","")&amp;IF((XXX_IV!C42="DC")*(XXX_IV!E42&lt;&gt;0),XXX_IV!B42&amp;", ","")&amp;IF((XXX_IV!C43="DC")*(XXX_IV!E43&lt;&gt;0),XXX_IV!B43&amp;", ","")&amp;IF((XXX_IV!C44="DC")*(XXX_IV!E44&lt;&gt;0),XXX_IV!B48&amp;", ","")&amp;IF((XXX_IV!C45="DC")*(XXX_IV!E45&lt;&gt;0),XXX_IV!B45&amp;", ","")&amp;IF((XXX_IV!C46="DC")*(XXX_IV!E46&lt;&gt;0),XXX_IV!B46&amp;", ","")&amp;IF((XXX_IV!C47="DC")*(XXX_IV!E47&lt;&gt;0),XXX_IV!B47&amp;", ","")&amp;IF((XXX_IV!C48="DC")*(XXX_IV!E48&lt;&gt;0),XXX_IV!B48&amp;", ","")&amp;IF((XXX_IV!C49="DC")*(XXX_IV!E49&lt;&gt;0),XXX_IV!B49&amp;", ","")</f>
        <v xml:space="preserve">D35ROBL710, </v>
      </c>
      <c r="C97" s="352">
        <f>IF(XXX_IV!F7&lt;&gt;0,XXX_IV!F7*(SUMIFS(XXX_IV!F12:F49,XXX_IV!C12:C49,"=DC",XXX_IV!E12:E49,"&lt;&gt;0",XXX_IV!D12:D49,"&lt;&gt;DFac")+SUMIFS(XXX_IV!G12:G49,XXX_IV!C12:C49,"=DC",XXX_IV!E12:E49,"&lt;&gt;0",XXX_IV!D12:D49,"&lt;&gt;DFac")+SUMIFS(XXX_IV!H12:H49,XXX_IV!C12:C49,"=DC",XXX_IV!E12:E49,"&lt;&gt;0",XXX_IV!D12:D49,"&lt;&gt;DFac")+SUMIFS(XXX_IV!I12:I49,XXX_IV!C12:C49,"=DC",XXX_IV!E12:E49,"&lt;&gt;0",XXX_IV!D12:D49,"&lt;&gt;DFac")),14*(SUMIFS(XXX_IV!F12:F49,XXX_IV!C12:C49,"=DC",XXX_IV!E12:E49,"&lt;&gt;0",XXX_IV!D12:D49,"&lt;&gt;DFac")+SUMIFS(XXX_IV!G12:G49,XXX_IV!C12:C49,"=DC",XXX_IV!E12:E49,"&lt;&gt;0",XXX_IV!D12:D49,"&lt;&gt;DFac")+SUMIFS(XXX_IV!H12:H49,XXX_IV!C12:C49,"=DC",XXX_IV!E12:E49,"&lt;&gt;0",XXX_IV!D12:D49,"&lt;&gt;DFac")+SUMIFS(XXX_IV!I12:I49,XXX_IV!C12:C49,"=DC",XXX_IV!E12:E49,"&lt;&gt;0",XXX_IV!D12:D49,"&lt;&gt;DFac")))+IF(XXX_IV!L7&lt;&gt;0,XXX_IV!L7*(SUMIFS(XXX_IV!L12:L49,XXX_IV!C12:C49,"=DC",XXX_IV!E12:E49,"&lt;&gt;0",XXX_IV!D12:D49,"&lt;&gt;DFac")+SUMIFS(XXX_IV!M12:M49,XXX_IV!C12:C49,"=DC",XXX_IV!E12:E49,"&lt;&gt;0",XXX_IV!D12:D49,"&lt;&gt;DFac")+SUMIFS(XXX_IV!N12:N49,XXX_IV!C12:C49,"=DC",XXX_IV!E12:E49,"&lt;&gt;0",XXX_IV!D12:D49,"&lt;&gt;DFac")+SUMIFS(XXX_IV!O12:O49,XXX_IV!C12:C49,"=DC",XXX_IV!E12:E49,"&lt;&gt;0",XXX_IV!D12:D49,"&lt;&gt;DFac")),14*(SUMIFS(XXX_IV!L12:L49,XXX_IV!C12:C49,"=DC",XXX_IV!E12:E49,"&lt;&gt;0",XXX_IV!D12:D49,"&lt;&gt;DFac")+SUMIFS(XXX_IV!M12:M49,XXX_IV!C12:C49,"=DC",XXX_IV!E12:E49,"&lt;&gt;0",XXX_IV!D12:D49,"&lt;&gt;DFac")+SUMIFS(XXX_IV!N12:N49,XXX_IV!C12:C49,"=DC",XXX_IV!E12:E49,"&lt;&gt;0",XXX_IV!D12:D49,"&lt;&gt;DFac")+SUMIFS(XXX_IV!O12:O49,XXX_IV!C12:C49,"=DC",XXX_IV!E12:E49,"&lt;&gt;0",XXX_IV!D12:D49,"&lt;&gt;DFac")))</f>
        <v>0</v>
      </c>
      <c r="D97" s="216"/>
      <c r="E97" s="217"/>
      <c r="F97" s="218"/>
      <c r="G97" s="188"/>
      <c r="H97" s="189"/>
      <c r="I97" s="212"/>
    </row>
    <row r="98" spans="1:9" x14ac:dyDescent="0.25">
      <c r="A98" s="185"/>
      <c r="B98" s="346"/>
      <c r="I98" s="212"/>
    </row>
    <row r="99" spans="1:9" x14ac:dyDescent="0.25">
      <c r="C99" s="347">
        <f>SUM(C94:C98)</f>
        <v>698</v>
      </c>
      <c r="I99" s="212"/>
    </row>
    <row r="100" spans="1:9" ht="15.75" thickBot="1" x14ac:dyDescent="0.3">
      <c r="A100" s="166" t="s">
        <v>52</v>
      </c>
      <c r="D100" s="167"/>
      <c r="E100" s="167"/>
      <c r="F100" s="167"/>
      <c r="G100" s="167"/>
      <c r="H100" s="167"/>
      <c r="I100" s="212"/>
    </row>
    <row r="101" spans="1:9" ht="15.75" thickBot="1" x14ac:dyDescent="0.3">
      <c r="A101" s="170" t="s">
        <v>18</v>
      </c>
      <c r="B101" s="340" t="s">
        <v>17</v>
      </c>
      <c r="C101" s="349" t="s">
        <v>24</v>
      </c>
      <c r="D101" s="170" t="s">
        <v>16</v>
      </c>
      <c r="E101" s="549" t="s">
        <v>26</v>
      </c>
      <c r="F101" s="550"/>
      <c r="G101" s="551" t="s">
        <v>25</v>
      </c>
      <c r="H101" s="552"/>
      <c r="I101" s="219"/>
    </row>
    <row r="102" spans="1:9" ht="45" x14ac:dyDescent="0.25">
      <c r="A102" s="173" t="s">
        <v>48</v>
      </c>
      <c r="B102" s="341" t="str">
        <f>IF((XXX_IV!D12="DI")*(XXX_IV!E12&lt;&gt;0),XXX_IV!B12&amp;", ","")&amp;IF((XXX_IV!D13="DI")*(XXX_IV!E13&lt;&gt;0),XXX_IV!B13&amp;", ","")&amp;IF((XXX_IV!D14="DI")*(XXX_IV!E14&lt;&gt;0),XXX_IV!B14&amp;", ","")&amp;IF((XXX_IV!D15="DI")*(XXX_IV!E15&lt;&gt;0),XXX_IV!B15&amp;", ","")&amp;IF((XXX_IV!D16="DI")*(XXX_IV!E16&lt;&gt;0),XXX_IV!B16&amp;", ","")&amp;IF((XXX_IV!D17="DI")*(XXX_IV!E17&lt;&gt;0),XXX_IV!B17&amp;", ","")&amp;IF((XXX_IV!D18="DI")*(XXX_IV!E18&lt;&gt;0),XXX_IV!B18&amp;", ","")&amp;IF((XXX_IV!D19="DI")*(XXX_IV!E19&lt;&gt;0),XXX_IV!B19&amp;", ","")&amp;IF((XXX_IV!D20="DI")*(XXX_IV!E20&lt;&gt;0),XXX_IV!B20&amp;", ","")&amp;IF((XXX_IV!D21="DI")*(XXX_IV!E21&lt;&gt;0),XXX_IV!B21&amp;", ","")&amp;IF((XXX_IV!D22="DI")*(XXX_IV!E22&lt;&gt;0),XXX_IV!B22&amp;", ","")&amp;IF((XXX_IV!D23="DI")*(XXX_IV!E23&lt;&gt;0),XXX_IV!B23&amp;", ","")&amp;IF((XXX_IV!D24="DI")*(XXX_IV!E24&lt;&gt;0),XXX_IV!B24&amp;", ","")&amp;IF((XXX_IV!D25="DI")*(XXX_IV!E25&lt;&gt;0),XXX_IV!B25&amp;", ","")&amp;IF((XXX_IV!D26="DI")*(XXX_IV!E26&lt;&gt;0),XXX_IV!B26&amp;", ","")&amp;IF((XXX_IV!D27="DI")*(XXX_IV!E27&lt;&gt;0),XXX_IV!B27&amp;", ","")&amp;IF((XXX_IV!D28="DI")*(XXX_IV!E28&lt;&gt;0),XXX_IV!B28&amp;", ","")&amp;IF((XXX_IV!D29="DI")*(XXX_IV!E29&lt;&gt;0),XXX_IV!B29&amp;", ","")&amp;IF((XXX_IV!D30="DI")*(XXX_IV!E30&lt;&gt;0),XXX_IV!B30&amp;", ","")&amp;IF((XXX_IV!D31="DI")*(XXX_IV!E31&lt;&gt;0),XXX_IV!B31&amp;", ","")&amp;IF((XXX_IV!D32="DI")*(XXX_IV!E32&lt;&gt;0),XXX_IV!B32&amp;", ","")&amp;IF((XXX_IV!D33="DI")*(XXX_IV!E33&lt;&gt;0),XXX_IV!B33&amp;", ","")&amp;IF((XXX_IV!D34="DI")*(XXX_IV!E34&lt;&gt;0),XXX_IV!B34&amp;", ","")&amp;IF((XXX_IV!D36="DI")*(XXX_IV!E36&lt;&gt;0),XXX_IV!B36&amp;", ","")&amp;IF((XXX_IV!D37="DI")*(XXX_IV!E37&lt;&gt;0),XXX_IV!B37&amp;", ","")&amp;IF((XXX_IV!D38="DI")*(XXX_IV!E38&lt;&gt;0),XXX_IV!B38&amp;", ","")&amp;IF((XXX_IV!D39="DI")*(XXX_IV!E39&lt;&gt;0),XXX_IV!B39&amp;", ","")&amp;IF((XXX_IV!D40="DI")*(XXX_IV!E40&lt;&gt;0),XXX_IV!B40&amp;", ","")&amp;IF((XXX_IV!D41="DI")*(XXX_IV!E41&lt;&gt;0),XXX_IV!B41&amp;", ","")&amp;IF((XXX_IV!D42="DI")*(XXX_IV!E42&lt;&gt;0),XXX_IV!B42&amp;", ","")&amp;IF((XXX_IV!D43="DI")*(XXX_IV!E43&lt;&gt;0),XXX_IV!B43&amp;", ","")&amp;IF((XXX_IV!D44="DI")*(XXX_IV!E44&lt;&gt;0),XXX_IV!B44&amp;", ","")&amp;IF((XXX_IV!D45="DI")*(XXX_IV!E45&lt;&gt;0),XXX_IV!B45&amp;", ","")&amp;IF((XXX_IV!D46="DI")*(XXX_IV!E46&lt;&gt;0),XXX_IV!B46&amp;", ","")&amp;IF((XXX_IV!D47="DI")*(XXX_IV!E47&lt;&gt;0),XXX_IV!B47&amp;", ","")&amp;IF((XXX_IV!D48="DI")*(XXX_IV!E48&lt;&gt;0),XXX_IV!B48&amp;", ","")&amp;IF((XXX_IV!D49="DI")*(XXX_IV!E49&lt;&gt;0),XXX_IV!B49&amp;", ","")</f>
        <v xml:space="preserve">D35ROBL701, D35ROBL702, D35ROBL703, D35ROBL801, D35ROBL802, D35ROBL803, D35ROBL804, </v>
      </c>
      <c r="C102" s="356">
        <f>IF(XXX_IV!F7&lt;&gt;0,XXX_IV!F7*(SUMIFS(XXX_IV!F12:F49,XXX_IV!D12:D49,"=DI",XXX_IV!E12:E49,"&lt;&gt;0")+SUMIFS(XXX_IV!G12:G49,XXX_IV!D12:D49,"=DI",XXX_IV!E12:E49,"&lt;&gt;0")+SUMIFS(XXX_IV!H12:H49,XXX_IV!D12:D49,"=DI",XXX_IV!E12:E49,"&lt;&gt;0")+SUMIFS(XXX_IV!I12:I49,XXX_IV!D12:D49,"=DI",XXX_IV!E12:E49,"&lt;&gt;0")),14*(SUMIFS(XXX_IV!F12:F49,XXX_IV!D12:D49,"=DI",XXX_IV!E12:E49,"&lt;&gt;0")+SUMIFS(XXX_IV!G12:G49,XXX_IV!D12:D49,"=DI",XXX_IV!E12:E49,"&lt;&gt;0")+SUMIFS(XXX_IV!H12:H49,XXX_IV!D12:D49,"=DI",XXX_IV!E12:E49,"&lt;&gt;0")+SUMIFS(XXX_IV!I12:I49,XXX_IV!D12:D49,"=DI",XXX_IV!E12:E49,"&lt;&gt;0")))+IF(XXX_IV!L7&lt;&gt;0,XXX_IV!L7*(SUMIFS(XXX_IV!L12:L49,XXX_IV!D12:D49,"=DI",XXX_IV!E12:E49,"&lt;&gt;0")+SUMIFS(XXX_IV!M12:M49,XXX_IV!D12:D49,"=DI",XXX_IV!E12:E49,"&lt;&gt;0")+SUMIFS(XXX_IV!N12:N49,XXX_IV!D12:D49,"=DI",XXX_IV!E12:E49,"&lt;&gt;0")+SUMIFS(XXX_IV!O12:O49,XXX_IV!D12:D49,"=DI",XXX_IV!E12:E49,"&lt;&gt;0")),14*(SUMIFS(XXX_IV!L12:L49,XXX_IV!D12:D49,"=DI",XXX_IV!E12:E49,"&lt;&gt;0")+SUMIFS(XXX_IV!M12:M49,XXX_IV!D12:D49,"=DI",XXX_IV!E12:E49,"&lt;&gt;0")+SUMIFS(XXX_IV!N12:N49,XXX_IV!D12:D49,"=DI",XXX_IV!E12:E49,"&lt;&gt;0")+SUMIFS(XXX_IV!O12:O49,XXX_IV!D12:D49,"=DI",XXX_IV!E12:E49,"&lt;&gt;0")))</f>
        <v>334</v>
      </c>
      <c r="D102" s="209"/>
      <c r="E102" s="210"/>
      <c r="F102" s="211"/>
      <c r="G102" s="175"/>
      <c r="H102" s="176"/>
      <c r="I102" s="212"/>
    </row>
    <row r="103" spans="1:9" ht="45" x14ac:dyDescent="0.25">
      <c r="A103" s="178" t="s">
        <v>49</v>
      </c>
      <c r="B103" s="342" t="str">
        <f>IF((XXX_IV!D12="DO")*(XXX_IV!E12&lt;&gt;0),XXX_IV!B12&amp;", ","")&amp;IF((XXX_IV!D13="DO")*(XXX_IV!E13&lt;&gt;0),XXX_IV!B13&amp;", ","")&amp;IF((XXX_IV!D14="DO")*(XXX_IV!E14&lt;&gt;0),XXX_IV!B14&amp;", ","")&amp;IF((XXX_IV!D15="DO")*(XXX_IV!E15&lt;&gt;0),XXX_IV!B15&amp;", ","")&amp;IF((XXX_IV!D16="DO")*(XXX_IV!E16&lt;&gt;0),XXX_IV!B16&amp;", ","")&amp;IF((XXX_IV!D17="DO")*(XXX_IV!E17&lt;&gt;0),XXX_IV!B17&amp;", ","")&amp;IF((XXX_IV!D18="DO")*(XXX_IV!E18&lt;&gt;0),XXX_IV!B18&amp;", ","")&amp;IF((XXX_IV!D19="DO")*(XXX_IV!E19&lt;&gt;0),XXX_IV!B19&amp;", ","")&amp;IF((XXX_IV!D20="DO")*(XXX_IV!E20&lt;&gt;0),XXX_IV!B20&amp;", ","")&amp;IF((XXX_IV!D21="DO")*(XXX_IV!E21&lt;&gt;0),XXX_IV!B21&amp;", ","")&amp;IF((XXX_IV!D22="DO")*(XXX_IV!E22&lt;&gt;0),XXX_IV!B22&amp;", ","")&amp;IF((XXX_IV!D23="DO")*(XXX_IV!E23&lt;&gt;0),XXX_IV!B23&amp;", ","")&amp;IF((XXX_IV!D24="DO")*(XXX_IV!E24&lt;&gt;0),XXX_IV!B24&amp;", ","")&amp;IF((XXX_IV!D25="DO")*(XXX_IV!E25&lt;&gt;0),XXX_IV!B25&amp;", ","")&amp;IF((XXX_IV!D26="DO")*(XXX_IV!E26&lt;&gt;0),XXX_IV!B26&amp;", ","")&amp;IF((XXX_IV!D27="DO")*(XXX_IV!E27&lt;&gt;0),XXX_IV!B27&amp;", ","")&amp;IF((XXX_IV!D28="DO")*(XXX_IV!E28&lt;&gt;0),XXX_IV!B28&amp;", ","")&amp;IF((XXX_IV!D29="DO")*(XXX_IV!E29&lt;&gt;0),XXX_IV!B29&amp;", ","")&amp;IF((XXX_IV!D30="DO")*(XXX_IV!E30&lt;&gt;0),XXX_IV!B30&amp;", ","")&amp;IF((XXX_IV!D31="DO")*(XXX_IV!E31&lt;&gt;0),XXX_IV!B31&amp;", ","")&amp;IF((XXX_IV!D32="DO")*(XXX_IV!E32&lt;&gt;0),XXX_IV!B32&amp;", ","")&amp;IF((XXX_IV!D33="DO")*(XXX_IV!E33&lt;&gt;0),XXX_IV!B33&amp;", ","")&amp;IF((XXX_IV!D34="DO")*(XXX_IV!E34&lt;&gt;0),XXX_IV!B34&amp;", ","")&amp;IF((XXX_IV!D36="DO")*(XXX_IV!E36&lt;&gt;0),XXX_IV!B36&amp;", ","")&amp;IF((XXX_IV!D37="DO")*(XXX_IV!E37&lt;&gt;0),XXX_IV!B37&amp;", ","")&amp;IF((XXX_IV!D38="DO")*(XXX_IV!E38&lt;&gt;0),XXX_IV!B38&amp;", ","")&amp;IF((XXX_IV!D39="DO")*(XXX_IV!E39&lt;&gt;0),XXX_IV!B39&amp;", ","")&amp;IF((XXX_IV!D40="DO")*(XXX_IV!E40&lt;&gt;0),XXX_IV!B40&amp;", ","")&amp;IF((XXX_IV!D41="DO")*(XXX_IV!E41&lt;&gt;0),XXX_IV!B41&amp;", ","")&amp;IF((XXX_IV!D42="DO")*(XXX_IV!E42&lt;&gt;0),XXX_IV!B42&amp;", ","")&amp;IF((XXX_IV!D43="DO")*(XXX_IV!E43&lt;&gt;0),XXX_IV!B43&amp;", ","")&amp;IF((XXX_IV!D44="DO")*(XXX_IV!E44&lt;&gt;0),XXX_IV!B44&amp;", ","")&amp;IF((XXX_IV!D45="DO")*(XXX_IV!E45&lt;&gt;0),XXX_IV!B45&amp;", ","")&amp;IF((XXX_IV!D46="DO")*(XXX_IV!E46&lt;&gt;0),XXX_IV!B46&amp;", ","")&amp;IF((XXX_IV!D47="DO")*(XXX_IV!E47&lt;&gt;0),XXX_IV!B47&amp;", ","")&amp;IF((XXX_IV!D48="DO")*(XXX_IV!E48&lt;&gt;0),XXX_IV!B48&amp;", ","")&amp;IF((XXX_IV!D49="DO")*(XXX_IV!E49&lt;&gt;0),XXX_IV!B49&amp;", ","")</f>
        <v xml:space="preserve">D35ROBL704a, D35ROBL705a, D35ROBL706a, D35ROBL707a, D35ROBL708a, D35ROBL805a, D35ROBL806a, D35ROBL807a, </v>
      </c>
      <c r="C103" s="353">
        <f>IF(XXX_IV!F7&lt;&gt;0,XXX_IV!F7*(SUMIFS(XXX_IV!F12:F49,XXX_IV!D12:D49,"=DO",XXX_IV!E12:E49,"&lt;&gt;0")+SUMIFS(XXX_IV!G12:G49,XXX_IV!D12:D49,"=DO",XXX_IV!E12:E49,"&lt;&gt;0")+SUMIFS(XXX_IV!H12:H49,XXX_IV!D12:D49,"=DO",XXX_IV!E12:E49,"&lt;&gt;0")+SUMIFS(XXX_IV!I12:I49,XXX_IV!D12:D49,"=DO",XXX_IV!E12:E49,"&lt;&gt;0")),14*(SUMIFS(XXX_IV!F12:F49,XXX_IV!D12:D49,"=DO",XXX_IV!E12:E49,"&lt;&gt;0")+SUMIFS(XXX_IV!G12:G49,XXX_IV!D12:D49,"=DO",XXX_IV!E12:E49,"&lt;&gt;0")+SUMIFS(XXX_IV!H12:H49,XXX_IV!D12:D49,"=DO",XXX_IV!E12:E49,"&lt;&gt;0")+SUMIFS(XXX_IV!I12:I49,XXX_IV!D12:D49,"=DO",XXX_IV!E12:E49,"&lt;&gt;0")))+IF(XXX_IV!L7&lt;&gt;0,XXX_IV!L7*(SUMIFS(XXX_IV!L12:L49,XXX_IV!D12:D49,"=DO",XXX_IV!E12:E49,"&lt;&gt;0")+SUMIFS(XXX_IV!M12:M49,XXX_IV!D12:D49,"=DO",XXX_IV!E12:E49,"&lt;&gt;0")+SUMIFS(XXX_IV!N12:N49,XXX_IV!D12:D49,"=DO",XXX_IV!E12:E49,"&lt;&gt;0")+SUMIFS(XXX_IV!O12:O49,XXX_IV!D12:D49,"=DO",XXX_IV!E12:E49,"&lt;&gt;0")),14*(SUMIFS(XXX_IV!L12:L49,XXX_IV!D12:D49,"=DO",XXX_IV!E12:E49,"&lt;&gt;0")+SUMIFS(XXX_IV!M12:M49,XXX_IV!D12:D49,"=DO",XXX_IV!E12:E49,"&lt;&gt;0")+SUMIFS(XXX_IV!N12:N49,XXX_IV!D12:D49,"=DO",XXX_IV!E12:E49,"&lt;&gt;0")+SUMIFS(XXX_IV!O12:O49,XXX_IV!D12:D49,"=DO",XXX_IV!E12:E49,"&lt;&gt;0")))</f>
        <v>364</v>
      </c>
      <c r="D103" s="197"/>
      <c r="E103" s="214"/>
      <c r="F103" s="215"/>
      <c r="G103" s="180"/>
      <c r="H103" s="181"/>
      <c r="I103" s="212"/>
    </row>
    <row r="104" spans="1:9" ht="15.75" thickBot="1" x14ac:dyDescent="0.3">
      <c r="A104" s="186" t="s">
        <v>50</v>
      </c>
      <c r="B104" s="343" t="str">
        <f>IF((XXX_IV!D12="DFac")*(XXX_IV!E12&lt;&gt;0),XXX_IV!B12&amp;", ","")&amp;IF((XXX_IV!D13="DFac")*(XXX_IV!E13&lt;&gt;0),XXX_IV!B13&amp;", ","")&amp;IF((XXX_IV!D14="DFac")*(XXX_IV!E14&lt;&gt;0),XXX_IV!B14&amp;", ","")&amp;IF((XXX_IV!D15="DFac")*(XXX_IV!E15&lt;&gt;0),XXX_IV!B15&amp;", ","")&amp;IF((XXX_IV!D16="DFac")*(XXX_IV!E16&lt;&gt;0),XXX_IV!B16&amp;", ","")&amp;IF((XXX_IV!D17="DFac")*(XXX_IV!E17&lt;&gt;0),XXX_IV!B17&amp;", ","")&amp;IF((XXX_IV!D18="DFac")*(XXX_IV!E18&lt;&gt;0),XXX_IV!B18&amp;", ","")&amp;IF((XXX_IV!D19="DFac")*(XXX_IV!E19&lt;&gt;0),XXX_IV!B19&amp;", ","")&amp;IF((XXX_IV!D20="DFac")*(XXX_IV!E20&lt;&gt;0),XXX_IV!B20&amp;", ","")&amp;IF((XXX_IV!D21="DFac")*(XXX_IV!E21&lt;&gt;0),XXX_IV!B21&amp;", ","")&amp;IF((XXX_IV!D22="DFac")*(XXX_IV!E22&lt;&gt;0),XXX_IV!B22&amp;", ","")&amp;IF((XXX_IV!D23="DFac")*(XXX_IV!E23&lt;&gt;0),XXX_IV!B23&amp;", ","")&amp;IF((XXX_IV!D24="DFac")*(XXX_IV!E24&lt;&gt;0),XXX_IV!B24&amp;", ","")&amp;IF((XXX_IV!D25="DFac")*(XXX_IV!E25&lt;&gt;0),XXX_IV!B25&amp;", ","")&amp;IF((XXX_IV!D26="DFac")*(XXX_IV!E26&lt;&gt;0),XXX_IV!B26&amp;", ","")&amp;IF((XXX_IV!D27="DFac")*(XXX_IV!E27&lt;&gt;0),XXX_IV!B27&amp;", ","")&amp;IF((XXX_IV!D28="DFac")*(XXX_IV!E28&lt;&gt;0),XXX_IV!B28&amp;", ","")&amp;IF((XXX_IV!D29="DFac")*(XXX_IV!E29&lt;&gt;0),XXX_IV!B29&amp;", ","")&amp;IF((XXX_IV!D30="DFac")*(XXX_IV!E30&lt;&gt;0),XXX_IV!B30&amp;", ","")&amp;IF((XXX_IV!D31="DFac")*(XXX_IV!E31&lt;&gt;0),XXX_IV!B31&amp;", ","")&amp;IF((XXX_IV!D32="DFac")*(XXX_IV!E32&lt;&gt;0),XXX_IV!B32&amp;", ","")&amp;IF((XXX_IV!D33="DFac")*(XXX_IV!E33&lt;&gt;0),XXX_IV!B33&amp;", ","")&amp;IF((XXX_IV!D34="DFac")*(XXX_IV!E34&lt;&gt;0),XXX_IV!B34&amp;", ","")&amp;IF((XXX_IV!D36="DFac")*(XXX_IV!E36&lt;&gt;0),XXX_IV!B36&amp;", ","")&amp;IF((XXX_IV!D37="DFac")*(XXX_IV!E37&lt;&gt;0),XXX_IV!B37&amp;", ","")&amp;IF((XXX_IV!D38="DFac")*(XXX_IV!E38&lt;&gt;0),XXX_IV!B38&amp;", ","")&amp;IF((XXX_IV!D39="DFac")*(XXX_IV!E39&lt;&gt;0),XXX_IV!B39&amp;", ","")&amp;IF((XXX_IV!D40="DFac")*(XXX_IV!E40&lt;&gt;0),XXX_IV!B40&amp;", ","")&amp;IF((XXX_IV!D41="DFac")*(XXX_IV!E41&lt;&gt;0),XXX_IV!B41&amp;", ","")&amp;IF((XXX_IV!D42="DFac")*(XXX_IV!E42&lt;&gt;0),XXX_IV!B42&amp;", ","")&amp;IF((XXX_IV!D43="DFac")*(XXX_IV!E43&lt;&gt;0),XXX_IV!B43&amp;", ","")&amp;IF((XXX_IV!D44="DFac")*(XXX_IV!E44&lt;&gt;0),XXX_IV!B44&amp;", ","")&amp;IF((XXX_IV!D45="DFac")*(XXX_IV!E45&lt;&gt;0),XXX_IV!B45&amp;", ","")&amp;IF((XXX_IV!D46="DFac")*(XXX_IV!E46&lt;&gt;0),XXX_IV!B46&amp;", ","")&amp;IF((XXX_IV!D47="DFac")*(XXX_IV!E47&lt;&gt;0),XXX_IV!B47&amp;", ","")&amp;IF((XXX_IV!D48="DFac")*(XXX_IV!E48&lt;&gt;0),XXX_IV!B48&amp;", ","")&amp;IF((XXX_IV!D49="DFac")*(XXX_IV!E49&lt;&gt;0),XXX_IV!B49&amp;", ","")</f>
        <v xml:space="preserve">D35ROBL710, </v>
      </c>
      <c r="C104" s="357">
        <f>IF(XXX_IV!F7&lt;&gt;0,XXX_IV!F7*(SUMIFS(XXX_IV!F12:F49,XXX_IV!D12:D49,"=DFac",XXX_IV!E12:E49,"&gt;=0")+SUMIFS(XXX_IV!G12:G49,XXX_IV!D12:D49,"=DFac",XXX_IV!E12:E49,"&gt;=0")+SUMIFS(XXX_IV!H12:H49,XXX_IV!D12:D49,"=DFac",XXX_IV!E12:E49,"&gt;=0")+SUMIFS(XXX_IV!I12:I49,XXX_IV!D12:D49,"=DFac",XXX_IV!E12:E49,"&gt;=0")),14*(SUMIFS(XXX_IV!F12:F49,XXX_IV!D12:D49,"=DFac",XXX_IV!E12:E49,"&gt;=0")+SUMIFS(XXX_IV!G12:G49,XXX_IV!D12:D49,"=DFac",XXX_IV!E12:E49,"&gt;=0")+SUMIFS(XXX_IV!H12:H49,XXX_IV!D12:D49,"=DFac",XXX_IV!E12:E49,"&gt;=0")+SUMIFS(XXX_IV!I12:I49,XXX_IV!D12:D49,"=DFac",XXX_IV!E12:E49,"&gt;=0")))+IF(XXX_IV!L7&lt;&gt;0,XXX_IV!L7*(SUMIFS(XXX_IV!L12:L49,XXX_IV!D12:D49,"=DFac",XXX_IV!E12:E49,"&gt;=0")+SUMIFS(XXX_IV!M12:M49,XXX_IV!D12:D49,"=DFac",XXX_IV!E12:E49,"&gt;=0")+SUMIFS(XXX_IV!N12:N49,XXX_IV!D12:D49,"=DFac",XXX_IV!E12:E49,"&gt;=0")+SUMIFS(XXX_IV!O12:O49,XXX_IV!D12:D49,"=DFac",XXX_IV!E12:E49,"&gt;=0")),14*(SUMIFS(XXX_IV!L12:L49,XXX_IV!D12:D49,"=DFac",XXX_IV!E12:E49,"&gt;=0")+SUMIFS(XXX_IV!M12:M49,XXX_IV!D12:D49,"=DFac",XXX_IV!E12:E49,"&gt;=0")+SUMIFS(XXX_IV!N12:N49,XXX_IV!D12:D49,"=DFac",XXX_IV!E12:E49,"&gt;=0")+SUMIFS(XXX_IV!O12:O49,XXX_IV!D12:D49,"=DFac",XXX_IV!E12:E49,"&gt;=0")))</f>
        <v>84</v>
      </c>
      <c r="D104" s="220"/>
      <c r="E104" s="217"/>
      <c r="F104" s="218"/>
      <c r="G104" s="221"/>
      <c r="H104" s="222"/>
      <c r="I104" s="212"/>
    </row>
    <row r="106" spans="1:9" x14ac:dyDescent="0.25">
      <c r="C106" s="347">
        <f>SUM(C102:C103)</f>
        <v>698</v>
      </c>
    </row>
  </sheetData>
  <mergeCells count="20">
    <mergeCell ref="E5:F5"/>
    <mergeCell ref="G5:H5"/>
    <mergeCell ref="E14:F14"/>
    <mergeCell ref="G14:H14"/>
    <mergeCell ref="E57:F57"/>
    <mergeCell ref="G57:H57"/>
    <mergeCell ref="E65:F65"/>
    <mergeCell ref="G65:H65"/>
    <mergeCell ref="E39:F39"/>
    <mergeCell ref="G39:H39"/>
    <mergeCell ref="E47:F47"/>
    <mergeCell ref="G47:H47"/>
    <mergeCell ref="E93:F93"/>
    <mergeCell ref="G93:H93"/>
    <mergeCell ref="E101:F101"/>
    <mergeCell ref="G101:H101"/>
    <mergeCell ref="E75:F75"/>
    <mergeCell ref="G75:H75"/>
    <mergeCell ref="E83:F83"/>
    <mergeCell ref="G83:H83"/>
  </mergeCells>
  <phoneticPr fontId="0" type="noConversion"/>
  <pageMargins left="0.70866141732283472" right="0.70866141732283472" top="0.74803149606299213" bottom="0.74803149606299213" header="0.31496062992125984" footer="0.31496062992125984"/>
  <pageSetup paperSize="9" scale="52" orientation="portrait" r:id="rId1"/>
  <headerFooter>
    <oddFooter xml:space="preserve">&amp;LRECTOR,
Prof. univ. dr. Cezar Ionuț SPÎNU&amp;CDECAN,
Prof. univ. dr. ing. Dan SELIȘTEANU&amp;RDIRECTOR DEPARTAMENT,
Prof. univ. dr. ing. Dorian COJOCARU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2:N35"/>
  <sheetViews>
    <sheetView view="pageBreakPreview" topLeftCell="A2" zoomScaleNormal="100" zoomScaleSheetLayoutView="100" workbookViewId="0">
      <selection activeCell="A2" sqref="A2:E2"/>
    </sheetView>
  </sheetViews>
  <sheetFormatPr defaultColWidth="9.140625" defaultRowHeight="14.25" x14ac:dyDescent="0.2"/>
  <cols>
    <col min="1" max="1" width="7" style="360" customWidth="1"/>
    <col min="2" max="2" width="50.85546875" style="364" customWidth="1"/>
    <col min="3" max="3" width="12.140625" style="389" customWidth="1"/>
    <col min="4" max="4" width="24.140625" style="360" customWidth="1"/>
    <col min="5" max="5" width="17.140625" style="390" customWidth="1"/>
    <col min="6" max="6" width="11.28515625" style="360" bestFit="1" customWidth="1"/>
    <col min="7" max="7" width="9.140625" style="361" customWidth="1"/>
    <col min="8" max="8" width="15.140625" style="361" bestFit="1" customWidth="1"/>
    <col min="9" max="9" width="9.140625" style="361" customWidth="1"/>
    <col min="10" max="10" width="9.140625" style="362" customWidth="1"/>
    <col min="11" max="14" width="9.140625" style="363" customWidth="1"/>
    <col min="15" max="15" width="9.140625" style="360" customWidth="1"/>
    <col min="16" max="16384" width="9.140625" style="360"/>
  </cols>
  <sheetData>
    <row r="2" spans="1:14" ht="18" x14ac:dyDescent="0.25">
      <c r="A2" s="553" t="s">
        <v>82</v>
      </c>
      <c r="B2" s="554"/>
      <c r="C2" s="554"/>
      <c r="D2" s="554"/>
      <c r="E2" s="554"/>
    </row>
    <row r="4" spans="1:14" s="364" customFormat="1" ht="38.25" customHeight="1" thickBot="1" x14ac:dyDescent="0.3">
      <c r="A4" s="555" t="s">
        <v>58</v>
      </c>
      <c r="B4" s="555"/>
      <c r="C4" s="555"/>
      <c r="D4" s="555"/>
      <c r="E4" s="555"/>
      <c r="G4" s="365"/>
      <c r="H4" s="365"/>
      <c r="I4" s="365"/>
      <c r="J4" s="366"/>
      <c r="K4" s="367"/>
      <c r="L4" s="367"/>
      <c r="M4" s="367"/>
      <c r="N4" s="367"/>
    </row>
    <row r="5" spans="1:14" ht="15.75" thickBot="1" x14ac:dyDescent="0.25">
      <c r="A5" s="556" t="s">
        <v>59</v>
      </c>
      <c r="B5" s="556" t="s">
        <v>60</v>
      </c>
      <c r="C5" s="559" t="s">
        <v>61</v>
      </c>
      <c r="D5" s="560" t="s">
        <v>62</v>
      </c>
      <c r="E5" s="560"/>
    </row>
    <row r="6" spans="1:14" ht="45.75" customHeight="1" thickBot="1" x14ac:dyDescent="0.25">
      <c r="A6" s="557"/>
      <c r="B6" s="558"/>
      <c r="C6" s="558"/>
      <c r="D6" s="368" t="s">
        <v>63</v>
      </c>
      <c r="E6" s="368" t="s">
        <v>64</v>
      </c>
    </row>
    <row r="7" spans="1:14" ht="28.5" x14ac:dyDescent="0.2">
      <c r="A7" s="369">
        <v>1</v>
      </c>
      <c r="B7" s="370" t="s">
        <v>65</v>
      </c>
      <c r="C7" s="393"/>
      <c r="D7" s="561" t="s">
        <v>88</v>
      </c>
      <c r="E7" s="562"/>
    </row>
    <row r="8" spans="1:14" ht="15" x14ac:dyDescent="0.2">
      <c r="A8" s="371">
        <v>2</v>
      </c>
      <c r="B8" s="372" t="s">
        <v>66</v>
      </c>
      <c r="C8" s="394"/>
      <c r="D8" s="563" t="s">
        <v>67</v>
      </c>
      <c r="E8" s="564"/>
    </row>
    <row r="9" spans="1:14" ht="30.75" customHeight="1" x14ac:dyDescent="0.2">
      <c r="A9" s="371">
        <v>3</v>
      </c>
      <c r="B9" s="372" t="s">
        <v>123</v>
      </c>
      <c r="C9" s="373">
        <f>XXX_REC!$C4</f>
        <v>27.25</v>
      </c>
      <c r="D9" s="374">
        <v>26</v>
      </c>
      <c r="E9" s="375">
        <v>28</v>
      </c>
    </row>
    <row r="10" spans="1:14" ht="42.75" x14ac:dyDescent="0.2">
      <c r="A10" s="371">
        <v>4</v>
      </c>
      <c r="B10" s="372" t="s">
        <v>68</v>
      </c>
      <c r="C10" s="376">
        <f>XXX_REC!$C10</f>
        <v>3188.04</v>
      </c>
      <c r="D10" s="374">
        <v>3152</v>
      </c>
      <c r="E10" s="375" t="s">
        <v>106</v>
      </c>
    </row>
    <row r="11" spans="1:14" ht="28.5" x14ac:dyDescent="0.2">
      <c r="A11" s="371">
        <v>5</v>
      </c>
      <c r="B11" s="372" t="s">
        <v>104</v>
      </c>
      <c r="C11" s="395"/>
      <c r="D11" s="563" t="s">
        <v>105</v>
      </c>
      <c r="E11" s="565"/>
    </row>
    <row r="12" spans="1:14" ht="15" x14ac:dyDescent="0.2">
      <c r="A12" s="371">
        <v>6</v>
      </c>
      <c r="B12" s="372" t="s">
        <v>69</v>
      </c>
      <c r="C12" s="395"/>
      <c r="D12" s="563" t="s">
        <v>70</v>
      </c>
      <c r="E12" s="565"/>
    </row>
    <row r="13" spans="1:14" ht="42.75" x14ac:dyDescent="0.2">
      <c r="A13" s="399">
        <v>7</v>
      </c>
      <c r="B13" s="372" t="s">
        <v>103</v>
      </c>
      <c r="C13" s="373">
        <f>$H13</f>
        <v>8.25</v>
      </c>
      <c r="D13" s="377">
        <v>4</v>
      </c>
      <c r="E13" s="375">
        <v>10</v>
      </c>
      <c r="G13" s="378">
        <f>COUNTIFS(XXX_I!K12:K35,"&lt;&gt;"&amp;"",XXX_I!E12:E35,"=1")+COUNTIFS(XXX_I!Q12:Q35,"&lt;&gt;"&amp;"",XXX_I!E12:E35,"=1")+COUNTIFS(XXX_II!K12:K35,"&lt;&gt;"&amp;"",XXX_II!E12:E35,"=1")+COUNTIFS(XXX_II!Q12:Q35,"&lt;&gt;"&amp;"",XXX_II!E12:E35,"=1")+COUNTIFS(XXX_III!K12:K35,"&lt;&gt;"&amp;"",XXX_III!E12:E35,"=1")+COUNTIFS(XXX_III!Q12:Q35,"&lt;&gt;"&amp;"",XXX_III!E12:E35,"=1")+COUNTIFS(XXX_IV!K12:K36,"&lt;&gt;"&amp;"",XXX_IV!E12:E36,"=1")+COUNTIFS(XXX_IV!Q12:Q36,"&lt;&gt;"&amp;"",XXX_IV!E12:E36,"=1")</f>
        <v>66</v>
      </c>
      <c r="H13" s="361">
        <f>G13/8</f>
        <v>8.25</v>
      </c>
    </row>
    <row r="14" spans="1:14" ht="71.25" x14ac:dyDescent="0.2">
      <c r="A14" s="371">
        <v>8</v>
      </c>
      <c r="B14" s="372" t="s">
        <v>102</v>
      </c>
      <c r="C14" s="401">
        <f>XXX_REC!$B2</f>
        <v>240.04</v>
      </c>
      <c r="D14" s="568" t="s">
        <v>118</v>
      </c>
      <c r="E14" s="567"/>
      <c r="G14" s="361">
        <f>18+17+13+17</f>
        <v>65</v>
      </c>
      <c r="H14" s="361">
        <f>65/8</f>
        <v>8.125</v>
      </c>
    </row>
    <row r="15" spans="1:14" ht="28.5" x14ac:dyDescent="0.2">
      <c r="A15" s="371">
        <v>9</v>
      </c>
      <c r="B15" s="372" t="s">
        <v>101</v>
      </c>
      <c r="C15" s="394"/>
      <c r="D15" s="563" t="s">
        <v>100</v>
      </c>
      <c r="E15" s="567"/>
    </row>
    <row r="16" spans="1:14" ht="85.5" x14ac:dyDescent="0.2">
      <c r="A16" s="371">
        <v>10</v>
      </c>
      <c r="B16" s="372" t="s">
        <v>98</v>
      </c>
      <c r="C16" s="394"/>
      <c r="D16" s="566" t="s">
        <v>99</v>
      </c>
      <c r="E16" s="567"/>
    </row>
    <row r="17" spans="1:10" ht="28.5" x14ac:dyDescent="0.2">
      <c r="A17" s="371">
        <v>11</v>
      </c>
      <c r="B17" s="372" t="s">
        <v>93</v>
      </c>
      <c r="C17" s="394"/>
      <c r="D17" s="572" t="s">
        <v>94</v>
      </c>
      <c r="E17" s="567"/>
    </row>
    <row r="18" spans="1:10" ht="28.5" x14ac:dyDescent="0.2">
      <c r="A18" s="371">
        <v>12</v>
      </c>
      <c r="B18" s="372" t="s">
        <v>92</v>
      </c>
      <c r="C18" s="394"/>
      <c r="D18" s="572" t="s">
        <v>71</v>
      </c>
      <c r="E18" s="565"/>
    </row>
    <row r="19" spans="1:10" ht="28.5" x14ac:dyDescent="0.2">
      <c r="A19" s="371">
        <v>13</v>
      </c>
      <c r="B19" s="372" t="s">
        <v>91</v>
      </c>
      <c r="C19" s="394"/>
      <c r="D19" s="563" t="s">
        <v>72</v>
      </c>
      <c r="E19" s="567"/>
      <c r="G19" s="361">
        <f>26+26+26+24</f>
        <v>102</v>
      </c>
      <c r="H19" s="361">
        <f>13+15+14+15+6.43+14+13+6.4+12+10+4.3</f>
        <v>123.13000000000001</v>
      </c>
      <c r="I19" s="379"/>
      <c r="J19" s="380"/>
    </row>
    <row r="20" spans="1:10" ht="42.75" x14ac:dyDescent="0.2">
      <c r="A20" s="399">
        <v>14</v>
      </c>
      <c r="B20" s="381" t="s">
        <v>73</v>
      </c>
      <c r="C20" s="373">
        <f>$I20</f>
        <v>0.94</v>
      </c>
      <c r="D20" s="377">
        <v>0.8</v>
      </c>
      <c r="E20" s="375">
        <v>1.2</v>
      </c>
      <c r="G20" s="382">
        <f>(SUMIFS(XXX_I!F12:F35,XXX_I!E12:E35,"=1")+SUMIFS(XXX_I!L12:L35,XXX_I!E12:E35,"=1")+SUMIFS(XXX_II!F12:F35,XXX_II!E12:E35,"=1")+SUMIFS(XXX_II!L12:L35,XXX_II!E12:E35,"=1")+SUMIFS(XXX_III!F12:F35,XXX_III!E12:E35,"=1")+SUMIFS(XXX_III!L12:L35,XXX_III!E12:E35,"=1")+SUMIFS(XXX_IV!F12:F36,XXX_IV!E12:E36,"=1")+SUMIFS(XXX_IV!L12:L36,XXX_IV!E12:E36,"=1"))</f>
        <v>115</v>
      </c>
      <c r="H20" s="382">
        <f>(SUMIFS(XXX_I!G12:G35,XXX_I!E12:E35,"&lt;&gt;0")+SUMIFS(XXX_I!M12:M35,XXX_I!E12:E35,"&lt;&gt;0")+SUMIFS(XXX_II!G12:G35,XXX_II!E12:E35,"&lt;&gt;0")+SUMIFS(XXX_II!M12:M35,XXX_II!E12:E35,"&lt;&gt;0")+SUMIFS(XXX_III!G12:G35,XXX_III!E12:E35,"&lt;&gt;0")+SUMIFS(XXX_III!M12:M35,XXX_III!E12:E35,"&lt;&gt;0")+SUMIFS(XXX_IV!G12:G36,XXX_IV!E12:E36,"&lt;&gt;0")+SUMIFS(XXX_IV!M12:M36,XXX_IV!E12:E36,"&lt;&gt;0")+SUMIFS(XXX_I!H12:H35,XXX_I!E12:E35,"&lt;&gt;0")+SUMIFS(XXX_I!N12:N35,XXX_I!E12:E35,"&lt;&gt;0")+SUMIFS(XXX_II!H12:H35,XXX_II!E12:E35,"&lt;&gt;0")+SUMIFS(XXX_II!N12:N35,XXX_II!E12:E35,"&lt;&gt;0")+SUMIFS(XXX_III!H12:H35,XXX_III!E12:E35,"&lt;&gt;0")+SUMIFS(XXX_III!N12:N35,XXX_III!E12:E35,"&lt;&gt;0")+SUMIFS(XXX_IV!H12:H36,XXX_IV!E12:E36,"&lt;&gt;0")+SUMIFS(XXX_IV!N12:N36,XXX_IV!E12:E36,"&lt;&gt;0")+SUMIFS(XXX_I!I12:I35,XXX_I!E12:E35,"&lt;&gt;0")+SUMIFS(XXX_I!O12:O35,XXX_I!E12:E35,"&lt;&gt;0")+SUMIFS(XXX_II!I12:I35,XXX_II!E12:E35,"&lt;&gt;0")+SUMIFS(XXX_II!O12:O35,XXX_II!E12:E35,"&lt;&gt;0")+SUMIFS(XXX_III!I12:I35,XXX_III!E12:E35,"&lt;&gt;0")+SUMIFS(XXX_III!O12:O35,XXX_III!E12:E35,"&lt;&gt;0")+SUMIFS(XXX_IV!I12:I36,XXX_IV!E12:E36,"&lt;&gt;0")+SUMIFS(XXX_IV!O12:O36,XXX_IV!E12:E36,"&lt;&gt;0"))</f>
        <v>121.86000000000001</v>
      </c>
      <c r="I20" s="382">
        <f>ROUND($G20/$H20,2)</f>
        <v>0.94</v>
      </c>
    </row>
    <row r="21" spans="1:10" ht="15" x14ac:dyDescent="0.2">
      <c r="A21" s="371">
        <v>15</v>
      </c>
      <c r="B21" s="381" t="s">
        <v>90</v>
      </c>
      <c r="C21" s="373">
        <f>$I21</f>
        <v>55.072463768115945</v>
      </c>
      <c r="D21" s="377" t="s">
        <v>89</v>
      </c>
      <c r="E21" s="375"/>
      <c r="G21" s="382">
        <f>COUNTIFS(XXX_I!K12:K35,"E",XXX_I!E12:E35,"&lt;&gt;0")+COUNTIFS(XXX_I!Q12:Q35,"E",XXX_I!E12:E35,"&lt;&gt;0")+COUNTIFS(XXX_II!K12:K35,"E",XXX_II!E12:E35,"&lt;&gt;0")+COUNTIFS(XXX_II!Q12:Q35,"E",XXX_II!E12:E35,"&lt;&gt;0")+COUNTIFS(XXX_III!K12:K35,"E",XXX_III!E12:E35,"&lt;&gt;0")+COUNTIFS(XXX_III!Q12:Q35,"E",XXX_III!E12:E35,"&lt;&gt;0")+COUNTIFS(XXX_IV!K12:K36,"E",XXX_IV!E12:E36,"&lt;&gt;0")+COUNTIFS(XXX_IV!Q12:Q36,"E",XXX_IV!E12:E36,"&lt;&gt;0")</f>
        <v>38</v>
      </c>
      <c r="H21" s="382">
        <f>COUNTIFS(XXX_I!K12:K35,"&lt;&gt;"&amp;"",XXX_I!E12:E35,"&lt;&gt;0")+COUNTIFS(XXX_I!Q12:Q35,"&lt;&gt;"&amp;"",XXX_I!E12:E35,"&lt;&gt;0")+COUNTIFS(XXX_II!K12:K35,"&lt;&gt;"&amp;"",XXX_II!E12:E35,"&lt;&gt;0")+COUNTIFS(XXX_II!Q12:Q35,"&lt;&gt;"&amp;"",XXX_II!E12:E35,"&lt;&gt;0")+COUNTIFS(XXX_III!K12:K35,"&lt;&gt;"&amp;"",XXX_III!E12:E35,"&lt;&gt;0")+COUNTIFS(XXX_III!Q12:Q35,"&lt;&gt;"&amp;"",XXX_III!E12:E35,"&lt;&gt;0")+COUNTIFS(XXX_IV!K12:K36,"&lt;&gt;"&amp;"",XXX_IV!E12:E36,"&lt;&gt;0")+COUNTIFS(XXX_IV!Q12:Q36,"&lt;&gt;"&amp;"",XXX_IV!E12:E36,"&lt;&gt;0")</f>
        <v>69</v>
      </c>
      <c r="I21" s="383">
        <f>G21/H21%</f>
        <v>55.072463768115945</v>
      </c>
    </row>
    <row r="22" spans="1:10" ht="15" x14ac:dyDescent="0.2">
      <c r="A22" s="371">
        <v>16</v>
      </c>
      <c r="B22" s="381" t="s">
        <v>74</v>
      </c>
      <c r="C22" s="394"/>
      <c r="D22" s="563" t="s">
        <v>75</v>
      </c>
      <c r="E22" s="565"/>
      <c r="G22" s="361">
        <f>8+8+8+7</f>
        <v>31</v>
      </c>
      <c r="H22" s="361">
        <f>36+14+19</f>
        <v>69</v>
      </c>
    </row>
    <row r="23" spans="1:10" ht="28.5" x14ac:dyDescent="0.2">
      <c r="A23" s="371">
        <v>17</v>
      </c>
      <c r="B23" s="381" t="s">
        <v>76</v>
      </c>
      <c r="C23" s="394"/>
      <c r="D23" s="398" t="s">
        <v>87</v>
      </c>
      <c r="E23" s="392"/>
    </row>
    <row r="24" spans="1:10" ht="28.5" customHeight="1" x14ac:dyDescent="0.2">
      <c r="A24" s="371">
        <v>18</v>
      </c>
      <c r="B24" s="381" t="s">
        <v>77</v>
      </c>
      <c r="C24" s="394"/>
      <c r="D24" s="384" t="s">
        <v>78</v>
      </c>
      <c r="E24" s="375"/>
    </row>
    <row r="25" spans="1:10" ht="28.5" x14ac:dyDescent="0.2">
      <c r="A25" s="371">
        <v>19</v>
      </c>
      <c r="B25" s="381" t="s">
        <v>84</v>
      </c>
      <c r="C25" s="396"/>
      <c r="D25" s="385"/>
      <c r="E25" s="386" t="s">
        <v>85</v>
      </c>
    </row>
    <row r="26" spans="1:10" ht="15" x14ac:dyDescent="0.2">
      <c r="A26" s="371">
        <v>20</v>
      </c>
      <c r="B26" s="387" t="s">
        <v>79</v>
      </c>
      <c r="C26" s="394"/>
      <c r="D26" s="377"/>
      <c r="E26" s="375">
        <v>30</v>
      </c>
    </row>
    <row r="27" spans="1:10" ht="15" x14ac:dyDescent="0.2">
      <c r="A27" s="371">
        <v>21</v>
      </c>
      <c r="B27" s="387" t="s">
        <v>80</v>
      </c>
      <c r="C27" s="394"/>
      <c r="D27" s="377"/>
      <c r="E27" s="375">
        <v>30</v>
      </c>
    </row>
    <row r="28" spans="1:10" ht="15" x14ac:dyDescent="0.2">
      <c r="A28" s="371">
        <v>22</v>
      </c>
      <c r="B28" s="387" t="s">
        <v>81</v>
      </c>
      <c r="C28" s="394"/>
      <c r="D28" s="377"/>
      <c r="E28" s="375">
        <v>25</v>
      </c>
    </row>
    <row r="29" spans="1:10" ht="28.5" x14ac:dyDescent="0.2">
      <c r="A29" s="400">
        <v>23</v>
      </c>
      <c r="B29" s="387" t="s">
        <v>83</v>
      </c>
      <c r="C29" s="396"/>
      <c r="D29" s="377"/>
      <c r="E29" s="375">
        <v>15</v>
      </c>
    </row>
    <row r="30" spans="1:10" ht="44.25" customHeight="1" thickBot="1" x14ac:dyDescent="0.25">
      <c r="A30" s="371">
        <v>24</v>
      </c>
      <c r="B30" s="388" t="s">
        <v>116</v>
      </c>
      <c r="C30" s="397"/>
      <c r="D30" s="570" t="s">
        <v>117</v>
      </c>
      <c r="E30" s="571"/>
    </row>
    <row r="32" spans="1:10" ht="57" customHeight="1" x14ac:dyDescent="0.25">
      <c r="B32" s="569" t="s">
        <v>97</v>
      </c>
      <c r="C32" s="548"/>
      <c r="D32" s="548"/>
      <c r="E32" s="548"/>
      <c r="F32" s="391"/>
    </row>
    <row r="33" spans="2:5" ht="15" x14ac:dyDescent="0.25">
      <c r="B33" s="569" t="s">
        <v>96</v>
      </c>
      <c r="C33" s="548"/>
      <c r="D33" s="548"/>
      <c r="E33" s="548"/>
    </row>
    <row r="34" spans="2:5" ht="29.25" customHeight="1" x14ac:dyDescent="0.25">
      <c r="B34" s="569" t="s">
        <v>95</v>
      </c>
      <c r="C34" s="548"/>
      <c r="D34" s="548"/>
      <c r="E34" s="548"/>
    </row>
    <row r="35" spans="2:5" ht="30" customHeight="1" x14ac:dyDescent="0.25">
      <c r="B35" s="569" t="s">
        <v>86</v>
      </c>
      <c r="C35" s="548"/>
      <c r="D35" s="548"/>
      <c r="E35" s="548"/>
    </row>
  </sheetData>
  <mergeCells count="22">
    <mergeCell ref="B35:E35"/>
    <mergeCell ref="D19:E19"/>
    <mergeCell ref="D30:E30"/>
    <mergeCell ref="D15:E15"/>
    <mergeCell ref="B32:E32"/>
    <mergeCell ref="B33:E33"/>
    <mergeCell ref="B34:E34"/>
    <mergeCell ref="D18:E18"/>
    <mergeCell ref="D22:E22"/>
    <mergeCell ref="D17:E17"/>
    <mergeCell ref="D7:E7"/>
    <mergeCell ref="D8:E8"/>
    <mergeCell ref="D11:E11"/>
    <mergeCell ref="D12:E12"/>
    <mergeCell ref="D16:E16"/>
    <mergeCell ref="D14:E14"/>
    <mergeCell ref="A2:E2"/>
    <mergeCell ref="A4:E4"/>
    <mergeCell ref="A5:A6"/>
    <mergeCell ref="B5:B6"/>
    <mergeCell ref="C5:C6"/>
    <mergeCell ref="D5:E5"/>
  </mergeCells>
  <pageMargins left="0.70866141732283472" right="0.70866141732283472" top="0.74803149606299213" bottom="0.74803149606299213" header="0.31496062992125984" footer="0.31496062992125984"/>
  <pageSetup scale="51" orientation="portrait" r:id="rId1"/>
  <headerFooter>
    <oddFooter>&amp;LRECTOR,
Prof. univ. dr. Cezar Ionuț SPÎNU&amp;CDECAN,
Prof. univ. dr. ing. Dan SELIȘTEANU&amp;RDIRECTOR DEPARTAMENT,
Prof. univ. dr. ing. Dorian COJOCARU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XXX_I</vt:lpstr>
      <vt:lpstr>XXX_II</vt:lpstr>
      <vt:lpstr>XXX_III</vt:lpstr>
      <vt:lpstr>XXX_IV</vt:lpstr>
      <vt:lpstr>XXX_REC</vt:lpstr>
      <vt:lpstr>Pagina_Garda</vt:lpstr>
      <vt:lpstr>Pagina_Garda!Print_Area</vt:lpstr>
      <vt:lpstr>XXX_I!Print_Area</vt:lpstr>
      <vt:lpstr>XXX_II!Print_Area</vt:lpstr>
      <vt:lpstr>XXX_III!Print_Area</vt:lpstr>
      <vt:lpstr>XXX_IV!Print_Area</vt:lpstr>
      <vt:lpstr>XXX_REC!Print_Area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dc:creator>
  <cp:lastModifiedBy>medicsef</cp:lastModifiedBy>
  <cp:lastPrinted>2019-09-19T10:26:40Z</cp:lastPrinted>
  <dcterms:created xsi:type="dcterms:W3CDTF">2012-05-16T14:40:02Z</dcterms:created>
  <dcterms:modified xsi:type="dcterms:W3CDTF">2020-09-11T06:38:44Z</dcterms:modified>
</cp:coreProperties>
</file>